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workbookProtection lockStructure="1"/>
  <bookViews>
    <workbookView xWindow="-15" yWindow="105" windowWidth="7680" windowHeight="6075" tabRatio="772" activeTab="1"/>
  </bookViews>
  <sheets>
    <sheet name="Hinweise" sheetId="28" r:id="rId1"/>
    <sheet name="Korrekturen" sheetId="29" r:id="rId2"/>
    <sheet name="Übersicht" sheetId="21" r:id="rId3"/>
    <sheet name="Eingabeparameter" sheetId="16" r:id="rId4"/>
    <sheet name="Kostenvergleich mit WBK" sheetId="13" r:id="rId5"/>
    <sheet name="Kostenvergleich Betriebskosten" sheetId="15" r:id="rId6"/>
    <sheet name="Gesamtkosten incl. WBK" sheetId="9" r:id="rId7"/>
    <sheet name="Gesamtkosten periodenbezogen" sheetId="19" r:id="rId8"/>
    <sheet name="Kosten Systemaufbau" sheetId="1" r:id="rId9"/>
    <sheet name="Kosten Systembetrieb" sheetId="4" r:id="rId10"/>
    <sheet name="Finanzierung" sheetId="27" r:id="rId11"/>
    <sheet name="Finanzierung (2)" sheetId="26" r:id="rId12"/>
    <sheet name="Lebensdauer Systemkomponenten" sheetId="8" r:id="rId13"/>
    <sheet name="Kosten Mobilfunkverträge" sheetId="5" r:id="rId14"/>
    <sheet name="Kosten für Chipkarten" sheetId="6" r:id="rId15"/>
    <sheet name="Migrationskosten" sheetId="23" r:id="rId16"/>
    <sheet name="Mehrerlöse CRM, sonstiges" sheetId="24" r:id="rId17"/>
    <sheet name="Nutzungsdauer Chipkarten" sheetId="22" r:id="rId18"/>
    <sheet name="Kosten Kundencenter" sheetId="11" r:id="rId19"/>
    <sheet name="Anzahl Kundencenter-VK-Plätze" sheetId="14" r:id="rId20"/>
    <sheet name="Basisdaten VRR" sheetId="12" r:id="rId21"/>
    <sheet name="Hilfsrechnungen intern" sheetId="17" state="hidden" r:id="rId22"/>
  </sheets>
  <definedNames>
    <definedName name="_xlnm._FilterDatabase" localSheetId="19" hidden="1">'Anzahl Kundencenter-VK-Plätze'!$A$1:$K$63</definedName>
    <definedName name="Auswahl">'Hilfsrechnungen intern'!$A$3:$A$4</definedName>
    <definedName name="_xlnm.Print_Area" localSheetId="19">'Anzahl Kundencenter-VK-Plätze'!$A$1:$G$69</definedName>
    <definedName name="_xlnm.Print_Area" localSheetId="20">'Basisdaten VRR'!$A$1:$L$25</definedName>
    <definedName name="_xlnm.Print_Area" localSheetId="10">Finanzierung!$A$1:$X$88</definedName>
    <definedName name="_xlnm.Print_Area" localSheetId="6">'Gesamtkosten incl. WBK'!$A$1:$S$58</definedName>
    <definedName name="_xlnm.Print_Area" localSheetId="14">'Kosten für Chipkarten'!$A$1:$L$26</definedName>
    <definedName name="_xlnm.Print_Area" localSheetId="18">'Kosten Kundencenter'!$A$1:$K$53</definedName>
    <definedName name="_xlnm.Print_Area" localSheetId="13">'Kosten Mobilfunkverträge'!$A$1:$H$10</definedName>
    <definedName name="_xlnm.Print_Area" localSheetId="8">'Kosten Systemaufbau'!$A$1:$M$25</definedName>
    <definedName name="_xlnm.Print_Area" localSheetId="9">'Kosten Systembetrieb'!$A$1:$L$23</definedName>
    <definedName name="_xlnm.Print_Area" localSheetId="4">'Kostenvergleich mit WBK'!$A$1:$Q$14</definedName>
    <definedName name="_xlnm.Print_Area" localSheetId="12">'Lebensdauer Systemkomponenten'!$A$1:$F$20</definedName>
    <definedName name="_xlnm.Print_Area" localSheetId="17">'Nutzungsdauer Chipkarten'!$A$1:$R$24</definedName>
    <definedName name="_xlnm.Print_Area" localSheetId="2">Übersicht!$A$1:$U$82</definedName>
    <definedName name="EKQ_I">Finanzierung!$I$30</definedName>
    <definedName name="FKQ_I">Finanzierung!$K$30</definedName>
    <definedName name="test" localSheetId="3">'Hilfsrechnungen intern'!$A$3:$A$4</definedName>
    <definedName name="Test">'Hilfsrechnungen intern'!$A$3:$A$4</definedName>
    <definedName name="Variante">'Hilfsrechnungen intern'!$B$3:$B$4</definedName>
    <definedName name="Variante3">'Hilfsrechnungen intern'!$C$3:$C$5</definedName>
  </definedNames>
  <calcPr calcId="145621"/>
</workbook>
</file>

<file path=xl/calcChain.xml><?xml version="1.0" encoding="utf-8"?>
<calcChain xmlns="http://schemas.openxmlformats.org/spreadsheetml/2006/main">
  <c r="R4" i="15" l="1"/>
  <c r="D4" i="16" l="1"/>
  <c r="E69" i="14" l="1"/>
  <c r="H22" i="12" l="1"/>
  <c r="H21" i="12"/>
  <c r="H20" i="12"/>
  <c r="H19" i="12"/>
  <c r="H18" i="12"/>
  <c r="H17" i="12"/>
  <c r="H16" i="12"/>
  <c r="H15" i="12"/>
  <c r="H14" i="12"/>
  <c r="H13" i="12"/>
  <c r="H12" i="12"/>
  <c r="H11" i="12"/>
  <c r="H10" i="12"/>
  <c r="H9" i="12"/>
  <c r="H8" i="12"/>
  <c r="H7" i="12"/>
  <c r="H6" i="12"/>
  <c r="H5" i="12"/>
  <c r="H4" i="12"/>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65" i="14" s="1"/>
  <c r="G12" i="14"/>
  <c r="G11" i="14"/>
  <c r="G10" i="14"/>
  <c r="G9" i="14"/>
  <c r="G8" i="14"/>
  <c r="G7" i="14"/>
  <c r="G6" i="14"/>
  <c r="G5" i="14"/>
  <c r="J31" i="11"/>
  <c r="E30" i="11"/>
  <c r="J30" i="11" s="1"/>
  <c r="I29" i="11"/>
  <c r="H29" i="11"/>
  <c r="G29" i="11"/>
  <c r="J28" i="11"/>
  <c r="I28" i="11"/>
  <c r="H28" i="11"/>
  <c r="G28" i="11"/>
  <c r="J27" i="11"/>
  <c r="I27" i="11"/>
  <c r="H27" i="11"/>
  <c r="G27" i="11"/>
  <c r="J26" i="11"/>
  <c r="I26" i="11"/>
  <c r="H26" i="11"/>
  <c r="G26" i="11"/>
  <c r="J25" i="11"/>
  <c r="I25" i="11"/>
  <c r="H25" i="11"/>
  <c r="G25" i="11"/>
  <c r="J23" i="11"/>
  <c r="I23" i="11"/>
  <c r="H23" i="11"/>
  <c r="G23" i="11"/>
  <c r="J22" i="11"/>
  <c r="I22" i="11"/>
  <c r="H22" i="11"/>
  <c r="G22" i="11"/>
  <c r="J21" i="11"/>
  <c r="I21" i="11"/>
  <c r="H21" i="11"/>
  <c r="G21" i="11"/>
  <c r="J19" i="11"/>
  <c r="I19" i="11"/>
  <c r="H19" i="11"/>
  <c r="G19" i="11"/>
  <c r="J16" i="11"/>
  <c r="J34" i="11" s="1"/>
  <c r="J35" i="11" s="1"/>
  <c r="I16" i="11"/>
  <c r="I34" i="11" s="1"/>
  <c r="I35" i="11" s="1"/>
  <c r="H16" i="11"/>
  <c r="H34" i="11" s="1"/>
  <c r="H35" i="11" s="1"/>
  <c r="G16" i="11"/>
  <c r="E13" i="11"/>
  <c r="Q24" i="22"/>
  <c r="P24" i="22"/>
  <c r="O24" i="22"/>
  <c r="N24" i="22"/>
  <c r="M24" i="22"/>
  <c r="L24" i="22"/>
  <c r="K24" i="22"/>
  <c r="J24" i="22"/>
  <c r="I24" i="22"/>
  <c r="H24" i="22"/>
  <c r="G24" i="22"/>
  <c r="F24" i="22"/>
  <c r="E24" i="22"/>
  <c r="Q23" i="22"/>
  <c r="P23" i="22"/>
  <c r="O23" i="22"/>
  <c r="N23" i="22"/>
  <c r="M23" i="22"/>
  <c r="L23" i="22"/>
  <c r="K23" i="22"/>
  <c r="J23" i="22"/>
  <c r="I23" i="22"/>
  <c r="H23" i="22"/>
  <c r="G23" i="22"/>
  <c r="F23" i="22"/>
  <c r="E23" i="22"/>
  <c r="Q22" i="22"/>
  <c r="P22" i="22"/>
  <c r="O22" i="22"/>
  <c r="N22" i="22"/>
  <c r="M22" i="22"/>
  <c r="L22" i="22"/>
  <c r="K22" i="22"/>
  <c r="J22" i="22"/>
  <c r="I22" i="22"/>
  <c r="H22" i="22"/>
  <c r="G22" i="22"/>
  <c r="F22" i="22"/>
  <c r="E22" i="22"/>
  <c r="R21" i="22"/>
  <c r="Q21" i="22"/>
  <c r="R20" i="22"/>
  <c r="Q20" i="22"/>
  <c r="R19" i="22"/>
  <c r="Q19" i="22"/>
  <c r="R18" i="22"/>
  <c r="Q18" i="22"/>
  <c r="R17" i="22"/>
  <c r="Q17" i="22"/>
  <c r="R16" i="22"/>
  <c r="Q16" i="22"/>
  <c r="R12" i="22"/>
  <c r="Q12" i="22"/>
  <c r="R11" i="22"/>
  <c r="Q11" i="22"/>
  <c r="R10" i="22"/>
  <c r="Q10" i="22"/>
  <c r="R9" i="22"/>
  <c r="Q9" i="22"/>
  <c r="E11" i="24"/>
  <c r="E10" i="24"/>
  <c r="E9" i="24"/>
  <c r="F7" i="24"/>
  <c r="E7" i="24"/>
  <c r="F6" i="24"/>
  <c r="E6" i="24"/>
  <c r="F5" i="24"/>
  <c r="E5" i="24"/>
  <c r="G5" i="24" s="1"/>
  <c r="F4" i="24"/>
  <c r="E4" i="24"/>
  <c r="G15" i="23"/>
  <c r="F15" i="23"/>
  <c r="G13" i="23"/>
  <c r="F13" i="23"/>
  <c r="E13" i="23"/>
  <c r="G12" i="23"/>
  <c r="F12" i="23"/>
  <c r="G11" i="23"/>
  <c r="F11" i="23"/>
  <c r="G9" i="23"/>
  <c r="F9" i="23"/>
  <c r="G8" i="23"/>
  <c r="F8" i="23"/>
  <c r="K23" i="6"/>
  <c r="H10" i="6"/>
  <c r="F10" i="6"/>
  <c r="E10" i="6"/>
  <c r="H9" i="6"/>
  <c r="F9" i="6"/>
  <c r="E9" i="6"/>
  <c r="H8" i="6"/>
  <c r="F11" i="24" s="1"/>
  <c r="F8" i="6"/>
  <c r="D62" i="21" s="1"/>
  <c r="E8" i="6"/>
  <c r="F8" i="5"/>
  <c r="F7" i="5"/>
  <c r="E19" i="8"/>
  <c r="C20" i="27" s="1"/>
  <c r="K20" i="27" s="1"/>
  <c r="E18" i="8"/>
  <c r="C19" i="27" s="1"/>
  <c r="Q19" i="27" s="1"/>
  <c r="E17" i="8"/>
  <c r="C18" i="27" s="1"/>
  <c r="N18" i="27" s="1"/>
  <c r="E16" i="8"/>
  <c r="C8" i="27" s="1"/>
  <c r="M8" i="27" s="1"/>
  <c r="E15" i="8"/>
  <c r="C17" i="27" s="1"/>
  <c r="T17" i="27" s="1"/>
  <c r="E14" i="8"/>
  <c r="C16" i="27" s="1"/>
  <c r="W16" i="27" s="1"/>
  <c r="E13" i="8"/>
  <c r="C15" i="27" s="1"/>
  <c r="E12" i="8"/>
  <c r="C14" i="27" s="1"/>
  <c r="E11" i="8"/>
  <c r="C13" i="27" s="1"/>
  <c r="Q13" i="27" s="1"/>
  <c r="E10" i="8"/>
  <c r="C12" i="27" s="1"/>
  <c r="P12" i="27" s="1"/>
  <c r="E9" i="8"/>
  <c r="C11" i="27" s="1"/>
  <c r="E8" i="8"/>
  <c r="C10" i="27" s="1"/>
  <c r="E7" i="8"/>
  <c r="C9" i="27" s="1"/>
  <c r="M9" i="27" s="1"/>
  <c r="X53" i="27"/>
  <c r="G51" i="27"/>
  <c r="W49" i="27"/>
  <c r="V49" i="27"/>
  <c r="U49" i="27"/>
  <c r="T49" i="27"/>
  <c r="S49" i="27"/>
  <c r="R49" i="27"/>
  <c r="Q49" i="27"/>
  <c r="P49" i="27"/>
  <c r="O49" i="27"/>
  <c r="N49" i="27"/>
  <c r="M49" i="27"/>
  <c r="L49" i="27"/>
  <c r="K49" i="27"/>
  <c r="J49" i="27"/>
  <c r="I49" i="27"/>
  <c r="H49" i="27"/>
  <c r="G49" i="27"/>
  <c r="G38" i="27"/>
  <c r="W35" i="27"/>
  <c r="V35" i="27"/>
  <c r="U35" i="27"/>
  <c r="T35" i="27"/>
  <c r="S35" i="27"/>
  <c r="R35" i="27"/>
  <c r="Q35" i="27"/>
  <c r="P35" i="27"/>
  <c r="O35" i="27"/>
  <c r="N35" i="27"/>
  <c r="M35" i="27"/>
  <c r="L35" i="27"/>
  <c r="K35" i="27"/>
  <c r="J35" i="27"/>
  <c r="I35" i="27"/>
  <c r="H35" i="27"/>
  <c r="G35" i="27"/>
  <c r="I24" i="27"/>
  <c r="W22" i="27"/>
  <c r="V22" i="27"/>
  <c r="U22" i="27"/>
  <c r="T22" i="27"/>
  <c r="S22" i="27"/>
  <c r="R22" i="27"/>
  <c r="Q22" i="27"/>
  <c r="P22" i="27"/>
  <c r="O22" i="27"/>
  <c r="N22" i="27"/>
  <c r="M22" i="27"/>
  <c r="L22" i="27"/>
  <c r="K22" i="27"/>
  <c r="J22" i="27"/>
  <c r="W21" i="27"/>
  <c r="V21" i="27"/>
  <c r="U21" i="27"/>
  <c r="T21" i="27"/>
  <c r="S21" i="27"/>
  <c r="R21" i="27"/>
  <c r="Q21" i="27"/>
  <c r="P21" i="27"/>
  <c r="O21" i="27"/>
  <c r="N21" i="27"/>
  <c r="M21" i="27"/>
  <c r="L21" i="27"/>
  <c r="K21" i="27"/>
  <c r="J21" i="27"/>
  <c r="U12" i="27"/>
  <c r="W5" i="27"/>
  <c r="V5" i="27"/>
  <c r="U5" i="27"/>
  <c r="T5" i="27"/>
  <c r="S5" i="27"/>
  <c r="R5" i="27"/>
  <c r="Q5" i="27"/>
  <c r="P5" i="27"/>
  <c r="O5" i="27"/>
  <c r="N5" i="27"/>
  <c r="M5" i="27"/>
  <c r="L5" i="27"/>
  <c r="K5" i="27"/>
  <c r="J5" i="27"/>
  <c r="I5" i="27"/>
  <c r="H5" i="27"/>
  <c r="G5" i="27"/>
  <c r="I21" i="4"/>
  <c r="I20" i="4"/>
  <c r="H19" i="4"/>
  <c r="F19" i="4"/>
  <c r="H18" i="4"/>
  <c r="F18" i="4"/>
  <c r="H17" i="4"/>
  <c r="F17" i="4"/>
  <c r="H16" i="4"/>
  <c r="F16" i="4"/>
  <c r="H15" i="4"/>
  <c r="F15" i="4"/>
  <c r="H14" i="4"/>
  <c r="F14" i="4"/>
  <c r="H13" i="4"/>
  <c r="F13" i="4"/>
  <c r="H12" i="4"/>
  <c r="F12" i="4"/>
  <c r="H11" i="4"/>
  <c r="F11" i="4"/>
  <c r="H10" i="4"/>
  <c r="F10" i="4"/>
  <c r="H9" i="4"/>
  <c r="F9" i="4"/>
  <c r="H8" i="4"/>
  <c r="F8" i="4"/>
  <c r="F7" i="4"/>
  <c r="E7" i="4"/>
  <c r="I22" i="1"/>
  <c r="I21" i="1"/>
  <c r="H20" i="1"/>
  <c r="F20" i="1"/>
  <c r="H19" i="1"/>
  <c r="F19" i="1"/>
  <c r="H18" i="1"/>
  <c r="F18" i="1"/>
  <c r="H17" i="1"/>
  <c r="F17" i="1"/>
  <c r="H16" i="1"/>
  <c r="F16" i="1"/>
  <c r="H15" i="1"/>
  <c r="F15" i="1"/>
  <c r="H14" i="1"/>
  <c r="F14" i="1"/>
  <c r="H13" i="1"/>
  <c r="F13" i="1"/>
  <c r="H12" i="1"/>
  <c r="F12" i="1"/>
  <c r="H11" i="1"/>
  <c r="F11" i="1"/>
  <c r="H10" i="1"/>
  <c r="F10" i="1"/>
  <c r="H9" i="1"/>
  <c r="F9" i="1"/>
  <c r="F8" i="1"/>
  <c r="E8" i="1"/>
  <c r="B19" i="19"/>
  <c r="Q19" i="19" s="1"/>
  <c r="B18" i="19"/>
  <c r="P18" i="19" s="1"/>
  <c r="B17" i="19"/>
  <c r="P17" i="19" s="1"/>
  <c r="B16" i="19"/>
  <c r="L16" i="19" s="1"/>
  <c r="B15" i="19"/>
  <c r="R15" i="19" s="1"/>
  <c r="B14" i="19"/>
  <c r="M14" i="19" s="1"/>
  <c r="B13" i="19"/>
  <c r="M13" i="19" s="1"/>
  <c r="B12" i="19"/>
  <c r="I12" i="19" s="1"/>
  <c r="B11" i="19"/>
  <c r="P11" i="19" s="1"/>
  <c r="B10" i="19"/>
  <c r="L10" i="19" s="1"/>
  <c r="B9" i="19"/>
  <c r="R9" i="19" s="1"/>
  <c r="B8" i="19"/>
  <c r="K8" i="19" s="1"/>
  <c r="B7" i="19"/>
  <c r="K7" i="19" s="1"/>
  <c r="B6" i="19"/>
  <c r="Q6" i="19" s="1"/>
  <c r="B20" i="9"/>
  <c r="B19" i="9"/>
  <c r="B18" i="9"/>
  <c r="B17" i="9"/>
  <c r="B16" i="9"/>
  <c r="B15" i="9"/>
  <c r="B14" i="9"/>
  <c r="B13" i="9"/>
  <c r="B12" i="9"/>
  <c r="B11" i="9"/>
  <c r="B10" i="9"/>
  <c r="B9" i="9"/>
  <c r="B8" i="9"/>
  <c r="B7" i="9"/>
  <c r="B6" i="9"/>
  <c r="Q7" i="15"/>
  <c r="P7" i="15"/>
  <c r="O7" i="15"/>
  <c r="N7" i="15"/>
  <c r="M7" i="15"/>
  <c r="L7" i="15"/>
  <c r="K7" i="15"/>
  <c r="J7" i="15"/>
  <c r="I7" i="15"/>
  <c r="H7" i="15"/>
  <c r="G7" i="15"/>
  <c r="F7" i="15"/>
  <c r="E7" i="15"/>
  <c r="D7" i="15"/>
  <c r="C7" i="15"/>
  <c r="Q5" i="15"/>
  <c r="P5" i="15"/>
  <c r="O5" i="15"/>
  <c r="N5" i="15"/>
  <c r="M5" i="15"/>
  <c r="L5" i="15"/>
  <c r="K5" i="15"/>
  <c r="J5" i="15"/>
  <c r="I5" i="15"/>
  <c r="H5" i="15"/>
  <c r="G5" i="15"/>
  <c r="F5" i="15"/>
  <c r="E5" i="15"/>
  <c r="D5" i="15"/>
  <c r="C5" i="15"/>
  <c r="P7" i="13"/>
  <c r="O7" i="13"/>
  <c r="N7" i="13"/>
  <c r="M7" i="13"/>
  <c r="L7" i="13"/>
  <c r="K7" i="13"/>
  <c r="J7" i="13"/>
  <c r="I7" i="13"/>
  <c r="H7" i="13"/>
  <c r="G7" i="13"/>
  <c r="F7" i="13"/>
  <c r="E7" i="13"/>
  <c r="D7" i="13"/>
  <c r="C7" i="13"/>
  <c r="B7" i="13"/>
  <c r="P5" i="13"/>
  <c r="O5" i="13"/>
  <c r="N5" i="13"/>
  <c r="M5" i="13"/>
  <c r="L5" i="13"/>
  <c r="K5" i="13"/>
  <c r="J5" i="13"/>
  <c r="I5" i="13"/>
  <c r="H5" i="13"/>
  <c r="G5" i="13"/>
  <c r="F5" i="13"/>
  <c r="E5" i="13"/>
  <c r="D5" i="13"/>
  <c r="C5" i="13"/>
  <c r="B5" i="13"/>
  <c r="D104" i="16"/>
  <c r="F104" i="16" s="1"/>
  <c r="C104" i="16"/>
  <c r="D103" i="16"/>
  <c r="F103" i="16" s="1"/>
  <c r="C103" i="16"/>
  <c r="D102" i="16"/>
  <c r="F102" i="16" s="1"/>
  <c r="C102" i="16"/>
  <c r="D101" i="16"/>
  <c r="F101" i="16" s="1"/>
  <c r="C101" i="16"/>
  <c r="D100" i="16"/>
  <c r="F100" i="16" s="1"/>
  <c r="C100" i="16"/>
  <c r="D99" i="16"/>
  <c r="F99" i="16" s="1"/>
  <c r="C99" i="16"/>
  <c r="D96" i="16"/>
  <c r="F96" i="16" s="1"/>
  <c r="C96" i="16"/>
  <c r="D95" i="16"/>
  <c r="F95" i="16" s="1"/>
  <c r="C95" i="16"/>
  <c r="D94" i="16"/>
  <c r="F94" i="16" s="1"/>
  <c r="C94" i="16"/>
  <c r="D93" i="16"/>
  <c r="F93" i="16" s="1"/>
  <c r="C93" i="16"/>
  <c r="C89" i="16"/>
  <c r="B14" i="13" s="1"/>
  <c r="C88" i="16"/>
  <c r="C11" i="26" s="1"/>
  <c r="C87" i="16"/>
  <c r="C10" i="26" s="1"/>
  <c r="C86" i="16"/>
  <c r="L30" i="27" s="1"/>
  <c r="C85" i="16"/>
  <c r="J30" i="27" s="1"/>
  <c r="C84" i="16"/>
  <c r="I30" i="27" s="1"/>
  <c r="C65" i="16"/>
  <c r="F48" i="16"/>
  <c r="E48" i="16"/>
  <c r="F47" i="16"/>
  <c r="E47" i="16"/>
  <c r="G30" i="16"/>
  <c r="H21" i="4" s="1"/>
  <c r="G21" i="4" s="1"/>
  <c r="J21" i="4" s="1"/>
  <c r="C30" i="16"/>
  <c r="H22" i="1" s="1"/>
  <c r="G29" i="16"/>
  <c r="H20" i="4" s="1"/>
  <c r="G20" i="4" s="1"/>
  <c r="J20" i="4" s="1"/>
  <c r="C29" i="16"/>
  <c r="H21" i="1" s="1"/>
  <c r="C22" i="16"/>
  <c r="C21" i="16"/>
  <c r="C18" i="16"/>
  <c r="C17" i="16"/>
  <c r="C16" i="16"/>
  <c r="C15" i="16"/>
  <c r="C14" i="16"/>
  <c r="C12" i="16"/>
  <c r="C11" i="16"/>
  <c r="H4" i="16"/>
  <c r="H7" i="4" s="1"/>
  <c r="E4" i="16"/>
  <c r="H8" i="1" s="1"/>
  <c r="D73" i="21"/>
  <c r="D72" i="21"/>
  <c r="D71" i="21"/>
  <c r="D69" i="21"/>
  <c r="I67" i="21"/>
  <c r="G67" i="21"/>
  <c r="F67" i="21"/>
  <c r="D51" i="21"/>
  <c r="D50" i="21"/>
  <c r="D44" i="21"/>
  <c r="D43" i="21"/>
  <c r="D39" i="21"/>
  <c r="D38" i="21"/>
  <c r="F38" i="21" s="1"/>
  <c r="D37" i="21"/>
  <c r="F37" i="21" s="1"/>
  <c r="D36" i="21"/>
  <c r="F36" i="21" s="1"/>
  <c r="G36" i="21" s="1"/>
  <c r="D35" i="21"/>
  <c r="F35" i="21" s="1"/>
  <c r="F6" i="21"/>
  <c r="F5" i="21"/>
  <c r="F4" i="21"/>
  <c r="C8" i="13" l="1"/>
  <c r="G8" i="13"/>
  <c r="K8" i="13"/>
  <c r="O8" i="13"/>
  <c r="F8" i="15"/>
  <c r="F14" i="17" s="1"/>
  <c r="F10" i="21"/>
  <c r="B8" i="13"/>
  <c r="F8" i="13"/>
  <c r="J8" i="13"/>
  <c r="N8" i="13"/>
  <c r="E8" i="15"/>
  <c r="E14" i="17" s="1"/>
  <c r="I8" i="15"/>
  <c r="I14" i="17" s="1"/>
  <c r="M8" i="15"/>
  <c r="M14" i="17" s="1"/>
  <c r="Q8" i="15"/>
  <c r="Q14" i="17" s="1"/>
  <c r="J19" i="27"/>
  <c r="W19" i="27"/>
  <c r="H14" i="19"/>
  <c r="S14" i="19"/>
  <c r="G19" i="1"/>
  <c r="G12" i="4"/>
  <c r="F15" i="19"/>
  <c r="G12" i="1"/>
  <c r="G14" i="1"/>
  <c r="G16" i="1"/>
  <c r="G17" i="4"/>
  <c r="H15" i="19"/>
  <c r="L15" i="19"/>
  <c r="K13" i="27"/>
  <c r="V14" i="27"/>
  <c r="K14" i="27"/>
  <c r="O14" i="27"/>
  <c r="W14" i="27"/>
  <c r="W10" i="27"/>
  <c r="K10" i="27"/>
  <c r="L10" i="27"/>
  <c r="O10" i="27"/>
  <c r="S17" i="19"/>
  <c r="F17" i="19"/>
  <c r="J19" i="19"/>
  <c r="W13" i="27"/>
  <c r="P20" i="27"/>
  <c r="K20" i="4"/>
  <c r="G36" i="9" s="1"/>
  <c r="Q15" i="19"/>
  <c r="G17" i="19"/>
  <c r="G18" i="19"/>
  <c r="G18" i="4"/>
  <c r="Q12" i="27"/>
  <c r="O17" i="27"/>
  <c r="G10" i="6"/>
  <c r="G4" i="24"/>
  <c r="G7" i="4"/>
  <c r="J7" i="4" s="1"/>
  <c r="L17" i="19"/>
  <c r="Q18" i="19"/>
  <c r="G20" i="1"/>
  <c r="I7" i="4"/>
  <c r="I10" i="6"/>
  <c r="Q13" i="19"/>
  <c r="L11" i="19"/>
  <c r="I13" i="19"/>
  <c r="R19" i="19"/>
  <c r="V9" i="27"/>
  <c r="K21" i="4"/>
  <c r="P37" i="19" s="1"/>
  <c r="O13" i="19"/>
  <c r="G15" i="19"/>
  <c r="O15" i="19"/>
  <c r="R17" i="19"/>
  <c r="H18" i="19"/>
  <c r="G19" i="19"/>
  <c r="I8" i="1"/>
  <c r="P8" i="27"/>
  <c r="U10" i="27"/>
  <c r="L14" i="27"/>
  <c r="K17" i="27"/>
  <c r="K19" i="27"/>
  <c r="U20" i="27"/>
  <c r="H13" i="23"/>
  <c r="H15" i="23"/>
  <c r="P8" i="19"/>
  <c r="I11" i="19"/>
  <c r="H13" i="19"/>
  <c r="K15" i="19"/>
  <c r="S15" i="19"/>
  <c r="R18" i="19"/>
  <c r="O19" i="19"/>
  <c r="G11" i="1"/>
  <c r="G15" i="1"/>
  <c r="G9" i="4"/>
  <c r="G13" i="4"/>
  <c r="G15" i="4"/>
  <c r="T14" i="27"/>
  <c r="E11" i="6"/>
  <c r="H59" i="19" s="1"/>
  <c r="V11" i="27"/>
  <c r="N11" i="27"/>
  <c r="J11" i="27"/>
  <c r="W11" i="27"/>
  <c r="S11" i="27"/>
  <c r="U15" i="27"/>
  <c r="L15" i="27"/>
  <c r="P15" i="27"/>
  <c r="T15" i="27"/>
  <c r="K6" i="19"/>
  <c r="G9" i="1"/>
  <c r="G7" i="24"/>
  <c r="C6" i="16"/>
  <c r="D33" i="21" s="1"/>
  <c r="F33" i="21" s="1"/>
  <c r="G33" i="21" s="1"/>
  <c r="G6" i="19"/>
  <c r="L6" i="19"/>
  <c r="R6" i="19"/>
  <c r="G8" i="19"/>
  <c r="I9" i="19"/>
  <c r="I10" i="19"/>
  <c r="O11" i="19"/>
  <c r="L13" i="19"/>
  <c r="S13" i="19"/>
  <c r="L18" i="19"/>
  <c r="K19" i="19"/>
  <c r="S19" i="19"/>
  <c r="G13" i="1"/>
  <c r="G14" i="4"/>
  <c r="G16" i="4"/>
  <c r="L8" i="27"/>
  <c r="U8" i="27"/>
  <c r="P10" i="27"/>
  <c r="K12" i="27"/>
  <c r="V12" i="27"/>
  <c r="P14" i="27"/>
  <c r="P19" i="27"/>
  <c r="G8" i="6"/>
  <c r="I9" i="6"/>
  <c r="J6" i="19"/>
  <c r="O6" i="19"/>
  <c r="Q10" i="19"/>
  <c r="F6" i="19"/>
  <c r="P6" i="19"/>
  <c r="G10" i="19"/>
  <c r="S10" i="19"/>
  <c r="G18" i="1"/>
  <c r="G10" i="4"/>
  <c r="G19" i="4"/>
  <c r="T8" i="27"/>
  <c r="G9" i="6"/>
  <c r="H6" i="19"/>
  <c r="N6" i="19"/>
  <c r="S6" i="19"/>
  <c r="F11" i="19"/>
  <c r="R11" i="19"/>
  <c r="G13" i="19"/>
  <c r="J15" i="19"/>
  <c r="P15" i="19"/>
  <c r="M17" i="19"/>
  <c r="F18" i="19"/>
  <c r="M18" i="19"/>
  <c r="F19" i="19"/>
  <c r="N19" i="19"/>
  <c r="G10" i="1"/>
  <c r="G17" i="1"/>
  <c r="G8" i="4"/>
  <c r="T10" i="27"/>
  <c r="L12" i="27"/>
  <c r="S14" i="27"/>
  <c r="V19" i="27"/>
  <c r="C97" i="16"/>
  <c r="F9" i="24" s="1"/>
  <c r="G9" i="24" s="1"/>
  <c r="I7" i="19"/>
  <c r="R7" i="19"/>
  <c r="Q9" i="19"/>
  <c r="L9" i="19"/>
  <c r="H9" i="19"/>
  <c r="S9" i="19"/>
  <c r="O9" i="19"/>
  <c r="J9" i="19"/>
  <c r="F9" i="19"/>
  <c r="M9" i="19"/>
  <c r="R12" i="19"/>
  <c r="N12" i="19"/>
  <c r="J12" i="19"/>
  <c r="F12" i="19"/>
  <c r="P12" i="19"/>
  <c r="L12" i="19"/>
  <c r="H12" i="19"/>
  <c r="S12" i="19"/>
  <c r="O12" i="19"/>
  <c r="M12" i="19"/>
  <c r="S8" i="19"/>
  <c r="O8" i="19"/>
  <c r="J8" i="19"/>
  <c r="F8" i="19"/>
  <c r="Q8" i="19"/>
  <c r="L8" i="19"/>
  <c r="H8" i="19"/>
  <c r="M8" i="19"/>
  <c r="G9" i="19"/>
  <c r="P9" i="19"/>
  <c r="G12" i="19"/>
  <c r="Q12" i="19"/>
  <c r="Q7" i="19"/>
  <c r="L7" i="19"/>
  <c r="H7" i="19"/>
  <c r="S7" i="19"/>
  <c r="O7" i="19"/>
  <c r="J7" i="19"/>
  <c r="F7" i="19"/>
  <c r="M7" i="19"/>
  <c r="H37" i="21"/>
  <c r="G37" i="21"/>
  <c r="G7" i="19"/>
  <c r="P7" i="19"/>
  <c r="I8" i="19"/>
  <c r="R8" i="19"/>
  <c r="K9" i="19"/>
  <c r="P10" i="19"/>
  <c r="K10" i="19"/>
  <c r="F10" i="19"/>
  <c r="R10" i="19"/>
  <c r="M10" i="19"/>
  <c r="H10" i="19"/>
  <c r="N10" i="19"/>
  <c r="K12" i="19"/>
  <c r="P14" i="19"/>
  <c r="K14" i="19"/>
  <c r="G14" i="19"/>
  <c r="J14" i="19"/>
  <c r="Q14" i="19"/>
  <c r="J16" i="19"/>
  <c r="U9" i="27"/>
  <c r="P9" i="27"/>
  <c r="L9" i="27"/>
  <c r="T9" i="27"/>
  <c r="O9" i="27"/>
  <c r="K9" i="27"/>
  <c r="Q9" i="27"/>
  <c r="M16" i="27"/>
  <c r="V16" i="27"/>
  <c r="S18" i="27"/>
  <c r="M18" i="27"/>
  <c r="W18" i="27"/>
  <c r="Q18" i="27"/>
  <c r="K18" i="27"/>
  <c r="T18" i="27"/>
  <c r="T13" i="27"/>
  <c r="N13" i="27"/>
  <c r="S13" i="27"/>
  <c r="M13" i="27"/>
  <c r="W17" i="27"/>
  <c r="S17" i="27"/>
  <c r="N17" i="27"/>
  <c r="J17" i="27"/>
  <c r="V17" i="27"/>
  <c r="Q17" i="27"/>
  <c r="M17" i="27"/>
  <c r="T20" i="27"/>
  <c r="O20" i="27"/>
  <c r="J20" i="27"/>
  <c r="W20" i="27"/>
  <c r="R20" i="27"/>
  <c r="M20" i="27"/>
  <c r="P57" i="19"/>
  <c r="E49" i="16"/>
  <c r="F97" i="16"/>
  <c r="D17" i="21" s="1"/>
  <c r="I6" i="19"/>
  <c r="M6" i="19"/>
  <c r="G11" i="19"/>
  <c r="M11" i="19"/>
  <c r="S11" i="19"/>
  <c r="R13" i="19"/>
  <c r="N13" i="19"/>
  <c r="J13" i="19"/>
  <c r="F13" i="19"/>
  <c r="K13" i="19"/>
  <c r="P13" i="19"/>
  <c r="F14" i="19"/>
  <c r="L14" i="19"/>
  <c r="R14" i="19"/>
  <c r="W8" i="27"/>
  <c r="S8" i="27"/>
  <c r="O8" i="27"/>
  <c r="K8" i="27"/>
  <c r="V8" i="27"/>
  <c r="R8" i="27"/>
  <c r="N8" i="27"/>
  <c r="J8" i="27"/>
  <c r="Q8" i="27"/>
  <c r="J9" i="27"/>
  <c r="S9" i="27"/>
  <c r="M11" i="27"/>
  <c r="J13" i="27"/>
  <c r="V13" i="27"/>
  <c r="M15" i="27"/>
  <c r="N16" i="27"/>
  <c r="P17" i="27"/>
  <c r="J18" i="27"/>
  <c r="V18" i="27"/>
  <c r="L20" i="27"/>
  <c r="V20" i="27"/>
  <c r="G6" i="24"/>
  <c r="O16" i="19"/>
  <c r="I16" i="19"/>
  <c r="S16" i="19"/>
  <c r="M16" i="19"/>
  <c r="G16" i="19"/>
  <c r="P16" i="19"/>
  <c r="U16" i="27"/>
  <c r="P16" i="27"/>
  <c r="L16" i="27"/>
  <c r="T16" i="27"/>
  <c r="O16" i="27"/>
  <c r="K16" i="27"/>
  <c r="Q16" i="27"/>
  <c r="J11" i="19"/>
  <c r="I14" i="19"/>
  <c r="O14" i="19"/>
  <c r="F16" i="19"/>
  <c r="R16" i="19"/>
  <c r="G11" i="4"/>
  <c r="N9" i="27"/>
  <c r="W9" i="27"/>
  <c r="U11" i="27"/>
  <c r="P11" i="27"/>
  <c r="L11" i="27"/>
  <c r="T11" i="27"/>
  <c r="O11" i="27"/>
  <c r="K11" i="27"/>
  <c r="Q11" i="27"/>
  <c r="P13" i="27"/>
  <c r="W15" i="27"/>
  <c r="S15" i="27"/>
  <c r="O15" i="27"/>
  <c r="K15" i="27"/>
  <c r="V15" i="27"/>
  <c r="R15" i="27"/>
  <c r="N15" i="27"/>
  <c r="J15" i="27"/>
  <c r="Q15" i="27"/>
  <c r="J16" i="27"/>
  <c r="S16" i="27"/>
  <c r="L17" i="27"/>
  <c r="U17" i="27"/>
  <c r="P18" i="27"/>
  <c r="Q20" i="27"/>
  <c r="T12" i="27"/>
  <c r="O12" i="27"/>
  <c r="J12" i="27"/>
  <c r="W12" i="27"/>
  <c r="R12" i="27"/>
  <c r="M12" i="27"/>
  <c r="T19" i="27"/>
  <c r="N19" i="27"/>
  <c r="S19" i="27"/>
  <c r="M19" i="27"/>
  <c r="I15" i="19"/>
  <c r="M15" i="19"/>
  <c r="I17" i="19"/>
  <c r="O17" i="19"/>
  <c r="I18" i="19"/>
  <c r="N18" i="19"/>
  <c r="S18" i="19"/>
  <c r="H19" i="19"/>
  <c r="L19" i="19"/>
  <c r="P19" i="19"/>
  <c r="M10" i="27"/>
  <c r="Q10" i="27"/>
  <c r="V10" i="27"/>
  <c r="M14" i="27"/>
  <c r="Q14" i="27"/>
  <c r="U14" i="27"/>
  <c r="G11" i="24"/>
  <c r="J17" i="19"/>
  <c r="K18" i="19"/>
  <c r="I19" i="19"/>
  <c r="M19" i="19"/>
  <c r="J10" i="27"/>
  <c r="N10" i="27"/>
  <c r="S10" i="27"/>
  <c r="J14" i="27"/>
  <c r="N14" i="27"/>
  <c r="R14" i="27"/>
  <c r="E8" i="13"/>
  <c r="I8" i="13"/>
  <c r="M8" i="13"/>
  <c r="N8" i="15"/>
  <c r="N14" i="17" s="1"/>
  <c r="J8" i="15"/>
  <c r="J14" i="17" s="1"/>
  <c r="C9" i="16"/>
  <c r="E10" i="4" s="1"/>
  <c r="G38" i="21"/>
  <c r="H38" i="21"/>
  <c r="D8" i="15"/>
  <c r="D14" i="17" s="1"/>
  <c r="L8" i="15"/>
  <c r="L14" i="17" s="1"/>
  <c r="C5" i="16"/>
  <c r="D30" i="21" s="1"/>
  <c r="F30" i="21" s="1"/>
  <c r="H30" i="21" s="1"/>
  <c r="F49" i="16"/>
  <c r="L8" i="13"/>
  <c r="P8" i="13"/>
  <c r="H8" i="15"/>
  <c r="H14" i="17" s="1"/>
  <c r="P8" i="15"/>
  <c r="P14" i="17" s="1"/>
  <c r="F105" i="16"/>
  <c r="E105" i="16" s="1"/>
  <c r="C8" i="15"/>
  <c r="C14" i="17" s="1"/>
  <c r="G8" i="15"/>
  <c r="G14" i="17" s="1"/>
  <c r="K8" i="15"/>
  <c r="K14" i="17" s="1"/>
  <c r="O8" i="15"/>
  <c r="O14" i="17" s="1"/>
  <c r="B18" i="15"/>
  <c r="E68" i="14"/>
  <c r="B68" i="14"/>
  <c r="D13" i="11" s="1"/>
  <c r="C68" i="14"/>
  <c r="C13" i="11" s="1"/>
  <c r="D68" i="14"/>
  <c r="H35" i="21"/>
  <c r="G35" i="21"/>
  <c r="I52" i="27"/>
  <c r="K30" i="27"/>
  <c r="E13" i="4"/>
  <c r="E14" i="1"/>
  <c r="L14" i="1"/>
  <c r="E16" i="1"/>
  <c r="E15" i="4"/>
  <c r="D52" i="21"/>
  <c r="K8" i="1"/>
  <c r="G8" i="1"/>
  <c r="J8" i="1" s="1"/>
  <c r="H36" i="21"/>
  <c r="E12" i="1"/>
  <c r="E8" i="5"/>
  <c r="G8" i="5" s="1"/>
  <c r="E11" i="4"/>
  <c r="E15" i="1"/>
  <c r="E14" i="4"/>
  <c r="L15" i="1"/>
  <c r="E19" i="1"/>
  <c r="E18" i="4"/>
  <c r="C58" i="16"/>
  <c r="K22" i="1"/>
  <c r="G22" i="1"/>
  <c r="J22" i="1" s="1"/>
  <c r="D45" i="21"/>
  <c r="E12" i="4"/>
  <c r="E13" i="1"/>
  <c r="K21" i="1"/>
  <c r="G21" i="1"/>
  <c r="J21" i="1" s="1"/>
  <c r="C105" i="16"/>
  <c r="C59" i="16" s="1"/>
  <c r="E9" i="23" s="1"/>
  <c r="H9" i="23" s="1"/>
  <c r="D8" i="13"/>
  <c r="H8" i="13"/>
  <c r="F10" i="24"/>
  <c r="G10" i="24" s="1"/>
  <c r="J36" i="11"/>
  <c r="O46" i="19" s="1"/>
  <c r="G34" i="11"/>
  <c r="E17" i="4"/>
  <c r="E18" i="1"/>
  <c r="I8" i="6"/>
  <c r="S46" i="19" l="1"/>
  <c r="M36" i="9"/>
  <c r="N36" i="9"/>
  <c r="S36" i="19"/>
  <c r="M37" i="19"/>
  <c r="D36" i="9"/>
  <c r="R37" i="19"/>
  <c r="H36" i="9"/>
  <c r="R36" i="9"/>
  <c r="F36" i="19"/>
  <c r="J37" i="9"/>
  <c r="K37" i="19"/>
  <c r="O36" i="9"/>
  <c r="G36" i="19"/>
  <c r="K36" i="19"/>
  <c r="R36" i="19"/>
  <c r="Q37" i="19"/>
  <c r="K36" i="9"/>
  <c r="E36" i="9"/>
  <c r="I36" i="19"/>
  <c r="Q36" i="19"/>
  <c r="P36" i="19"/>
  <c r="L37" i="9"/>
  <c r="K37" i="9"/>
  <c r="G57" i="9"/>
  <c r="L57" i="9"/>
  <c r="Q36" i="9"/>
  <c r="L36" i="9"/>
  <c r="F36" i="9"/>
  <c r="L36" i="19"/>
  <c r="H36" i="19"/>
  <c r="J36" i="19"/>
  <c r="N37" i="9"/>
  <c r="E37" i="9"/>
  <c r="I37" i="19"/>
  <c r="S37" i="19"/>
  <c r="O36" i="19"/>
  <c r="I8" i="21"/>
  <c r="O58" i="19"/>
  <c r="I36" i="9"/>
  <c r="P36" i="9"/>
  <c r="J36" i="9"/>
  <c r="E36" i="19"/>
  <c r="M36" i="19"/>
  <c r="N36" i="19"/>
  <c r="H37" i="9"/>
  <c r="M37" i="9"/>
  <c r="N37" i="19"/>
  <c r="L37" i="19"/>
  <c r="I57" i="9"/>
  <c r="E9" i="1"/>
  <c r="J9" i="1" s="1"/>
  <c r="H33" i="21"/>
  <c r="G55" i="9"/>
  <c r="P58" i="19"/>
  <c r="E55" i="9"/>
  <c r="R59" i="19"/>
  <c r="S58" i="19"/>
  <c r="S57" i="19"/>
  <c r="R58" i="19"/>
  <c r="I56" i="9"/>
  <c r="K7" i="4"/>
  <c r="J23" i="19" s="1"/>
  <c r="M59" i="19"/>
  <c r="M57" i="9"/>
  <c r="K55" i="9"/>
  <c r="Q55" i="9"/>
  <c r="L57" i="19"/>
  <c r="N59" i="19"/>
  <c r="N58" i="19"/>
  <c r="G11" i="6"/>
  <c r="F62" i="21" s="1"/>
  <c r="D57" i="9"/>
  <c r="N57" i="19"/>
  <c r="R57" i="19"/>
  <c r="P55" i="9"/>
  <c r="D25" i="21"/>
  <c r="K57" i="19"/>
  <c r="L56" i="9"/>
  <c r="H58" i="19"/>
  <c r="R56" i="9"/>
  <c r="M58" i="19"/>
  <c r="M57" i="19"/>
  <c r="O59" i="19"/>
  <c r="R21" i="19"/>
  <c r="D55" i="9"/>
  <c r="G56" i="9"/>
  <c r="L55" i="9"/>
  <c r="R57" i="9"/>
  <c r="H56" i="9"/>
  <c r="F56" i="9"/>
  <c r="Q58" i="19"/>
  <c r="Q57" i="19"/>
  <c r="S59" i="19"/>
  <c r="E56" i="9"/>
  <c r="O56" i="9"/>
  <c r="F57" i="9"/>
  <c r="F57" i="19"/>
  <c r="E97" i="16"/>
  <c r="F17" i="21" s="1"/>
  <c r="M24" i="27"/>
  <c r="M52" i="27" s="1"/>
  <c r="E59" i="19"/>
  <c r="E57" i="9"/>
  <c r="D56" i="9"/>
  <c r="Q59" i="19"/>
  <c r="O57" i="19"/>
  <c r="O57" i="9"/>
  <c r="N56" i="9"/>
  <c r="M55" i="9"/>
  <c r="E58" i="19"/>
  <c r="F59" i="19"/>
  <c r="E57" i="19"/>
  <c r="F58" i="19"/>
  <c r="G59" i="19"/>
  <c r="F21" i="19"/>
  <c r="R55" i="9"/>
  <c r="J57" i="19"/>
  <c r="M56" i="9"/>
  <c r="F55" i="9"/>
  <c r="H57" i="9"/>
  <c r="J55" i="9"/>
  <c r="P59" i="19"/>
  <c r="Q56" i="9"/>
  <c r="G58" i="19"/>
  <c r="L58" i="19"/>
  <c r="Q57" i="9"/>
  <c r="P56" i="9"/>
  <c r="O55" i="9"/>
  <c r="I59" i="19"/>
  <c r="G57" i="19"/>
  <c r="K57" i="9"/>
  <c r="J56" i="9"/>
  <c r="I55" i="9"/>
  <c r="H57" i="19"/>
  <c r="I58" i="19"/>
  <c r="J59" i="19"/>
  <c r="I57" i="19"/>
  <c r="J58" i="19"/>
  <c r="K59" i="19"/>
  <c r="K56" i="9"/>
  <c r="L59" i="19"/>
  <c r="N57" i="9"/>
  <c r="N55" i="9"/>
  <c r="P57" i="9"/>
  <c r="K58" i="19"/>
  <c r="H55" i="9"/>
  <c r="J57" i="9"/>
  <c r="G30" i="21"/>
  <c r="D37" i="9"/>
  <c r="E37" i="19"/>
  <c r="I9" i="21"/>
  <c r="I37" i="9"/>
  <c r="G37" i="9"/>
  <c r="F37" i="19"/>
  <c r="G37" i="19"/>
  <c r="H37" i="19"/>
  <c r="W24" i="27"/>
  <c r="W52" i="27" s="1"/>
  <c r="S21" i="19"/>
  <c r="M21" i="19"/>
  <c r="P24" i="27"/>
  <c r="P52" i="27" s="1"/>
  <c r="K24" i="27"/>
  <c r="K52" i="27" s="1"/>
  <c r="I11" i="6"/>
  <c r="I62" i="21" s="1"/>
  <c r="R23" i="19"/>
  <c r="L9" i="1"/>
  <c r="D9" i="27" s="1"/>
  <c r="F37" i="9"/>
  <c r="P37" i="9"/>
  <c r="R37" i="9"/>
  <c r="Q37" i="9"/>
  <c r="O37" i="9"/>
  <c r="J37" i="19"/>
  <c r="O37" i="19"/>
  <c r="Q24" i="27"/>
  <c r="Q52" i="27" s="1"/>
  <c r="J24" i="27"/>
  <c r="J39" i="27" s="1"/>
  <c r="P21" i="19"/>
  <c r="E23" i="19"/>
  <c r="E8" i="4"/>
  <c r="I8" i="4" s="1"/>
  <c r="C8" i="16"/>
  <c r="E7" i="5" s="1"/>
  <c r="T24" i="27"/>
  <c r="T52" i="27" s="1"/>
  <c r="V24" i="27"/>
  <c r="V52" i="27" s="1"/>
  <c r="L21" i="19"/>
  <c r="G21" i="19"/>
  <c r="I21" i="19"/>
  <c r="J13" i="4"/>
  <c r="I13" i="4"/>
  <c r="P23" i="9"/>
  <c r="P23" i="19"/>
  <c r="D23" i="9"/>
  <c r="G14" i="24"/>
  <c r="C74" i="21" s="1"/>
  <c r="B4" i="13" s="1"/>
  <c r="E11" i="1"/>
  <c r="J11" i="1" s="1"/>
  <c r="H23" i="19"/>
  <c r="Q8" i="13"/>
  <c r="E46" i="19"/>
  <c r="I46" i="19"/>
  <c r="K46" i="9"/>
  <c r="R46" i="19"/>
  <c r="O46" i="9"/>
  <c r="P46" i="9"/>
  <c r="P46" i="19"/>
  <c r="M46" i="9"/>
  <c r="J46" i="9"/>
  <c r="D46" i="9"/>
  <c r="Q46" i="9"/>
  <c r="R46" i="9"/>
  <c r="H46" i="19"/>
  <c r="H46" i="9"/>
  <c r="M46" i="19"/>
  <c r="F46" i="19"/>
  <c r="I48" i="21"/>
  <c r="G46" i="19"/>
  <c r="G46" i="9"/>
  <c r="L46" i="19"/>
  <c r="L46" i="9"/>
  <c r="E46" i="9"/>
  <c r="N46" i="19"/>
  <c r="F46" i="9"/>
  <c r="K46" i="19"/>
  <c r="I46" i="9"/>
  <c r="J46" i="19"/>
  <c r="Q46" i="19"/>
  <c r="N46" i="9"/>
  <c r="F43" i="11"/>
  <c r="B13" i="11"/>
  <c r="R42" i="19"/>
  <c r="N42" i="19"/>
  <c r="J42" i="19"/>
  <c r="F42" i="19"/>
  <c r="Q42" i="19"/>
  <c r="M42" i="19"/>
  <c r="I42" i="19"/>
  <c r="E42" i="19"/>
  <c r="L42" i="19"/>
  <c r="P42" i="19"/>
  <c r="H42" i="19"/>
  <c r="K42" i="19"/>
  <c r="Q42" i="9"/>
  <c r="M42" i="9"/>
  <c r="I42" i="9"/>
  <c r="E42" i="9"/>
  <c r="S42" i="19"/>
  <c r="O42" i="9"/>
  <c r="K42" i="9"/>
  <c r="G42" i="9"/>
  <c r="L42" i="9"/>
  <c r="D42" i="9"/>
  <c r="O42" i="19"/>
  <c r="R42" i="9"/>
  <c r="J42" i="9"/>
  <c r="G42" i="19"/>
  <c r="P42" i="9"/>
  <c r="H42" i="9"/>
  <c r="N42" i="9"/>
  <c r="F42" i="9"/>
  <c r="J13" i="1"/>
  <c r="I13" i="1"/>
  <c r="K13" i="1"/>
  <c r="L22" i="1"/>
  <c r="O20" i="9"/>
  <c r="K20" i="9"/>
  <c r="G20" i="9"/>
  <c r="Q20" i="9"/>
  <c r="M20" i="9"/>
  <c r="I20" i="9"/>
  <c r="E20" i="9"/>
  <c r="N20" i="9"/>
  <c r="F20" i="9"/>
  <c r="L20" i="9"/>
  <c r="D20" i="9"/>
  <c r="R20" i="9"/>
  <c r="J20" i="9"/>
  <c r="P20" i="9"/>
  <c r="H20" i="9"/>
  <c r="J18" i="4"/>
  <c r="I18" i="4"/>
  <c r="J15" i="1"/>
  <c r="I15" i="1"/>
  <c r="K15" i="1"/>
  <c r="J14" i="1"/>
  <c r="I14" i="1"/>
  <c r="K14" i="1"/>
  <c r="I12" i="4"/>
  <c r="J12" i="4"/>
  <c r="K19" i="1"/>
  <c r="J19" i="1"/>
  <c r="I19" i="1"/>
  <c r="I11" i="4"/>
  <c r="J11" i="4"/>
  <c r="J15" i="4"/>
  <c r="I15" i="4"/>
  <c r="J10" i="4"/>
  <c r="I10" i="4"/>
  <c r="D15" i="27"/>
  <c r="D13" i="19"/>
  <c r="Q6" i="9"/>
  <c r="M6" i="9"/>
  <c r="I6" i="9"/>
  <c r="E6" i="9"/>
  <c r="O6" i="9"/>
  <c r="K6" i="9"/>
  <c r="G6" i="9"/>
  <c r="R6" i="9"/>
  <c r="J6" i="9"/>
  <c r="L8" i="1"/>
  <c r="P6" i="9"/>
  <c r="H6" i="9"/>
  <c r="N6" i="9"/>
  <c r="F6" i="9"/>
  <c r="L6" i="9"/>
  <c r="D6" i="9"/>
  <c r="J16" i="1"/>
  <c r="I16" i="1"/>
  <c r="K16" i="1"/>
  <c r="L21" i="1"/>
  <c r="P19" i="9"/>
  <c r="L19" i="9"/>
  <c r="H19" i="9"/>
  <c r="D19" i="9"/>
  <c r="R19" i="9"/>
  <c r="N19" i="9"/>
  <c r="J19" i="9"/>
  <c r="F19" i="9"/>
  <c r="Q19" i="9"/>
  <c r="I19" i="9"/>
  <c r="O19" i="9"/>
  <c r="G19" i="9"/>
  <c r="M19" i="9"/>
  <c r="E19" i="9"/>
  <c r="K19" i="9"/>
  <c r="E8" i="23"/>
  <c r="H8" i="23" s="1"/>
  <c r="C19" i="16"/>
  <c r="C61" i="16"/>
  <c r="E11" i="23" s="1"/>
  <c r="H11" i="23" s="1"/>
  <c r="J14" i="4"/>
  <c r="I14" i="4"/>
  <c r="J12" i="1"/>
  <c r="I12" i="1"/>
  <c r="K12" i="1"/>
  <c r="D14" i="27"/>
  <c r="D12" i="19"/>
  <c r="G25" i="21"/>
  <c r="H25" i="21"/>
  <c r="F25" i="21"/>
  <c r="G36" i="11"/>
  <c r="G35" i="11"/>
  <c r="I18" i="1"/>
  <c r="K18" i="1"/>
  <c r="J18" i="1"/>
  <c r="J17" i="4"/>
  <c r="I17" i="4"/>
  <c r="G62" i="21" l="1"/>
  <c r="I23" i="9"/>
  <c r="L23" i="19"/>
  <c r="Q23" i="19"/>
  <c r="J9" i="17"/>
  <c r="P9" i="17"/>
  <c r="K9" i="17"/>
  <c r="G9" i="17"/>
  <c r="N9" i="17"/>
  <c r="Q9" i="17"/>
  <c r="E9" i="17"/>
  <c r="D9" i="17"/>
  <c r="P39" i="27"/>
  <c r="R23" i="9"/>
  <c r="S23" i="19"/>
  <c r="F23" i="9"/>
  <c r="H58" i="9"/>
  <c r="S60" i="19"/>
  <c r="F23" i="19"/>
  <c r="I23" i="19"/>
  <c r="M23" i="19"/>
  <c r="O23" i="19"/>
  <c r="E23" i="9"/>
  <c r="K9" i="1"/>
  <c r="P7" i="9" s="1"/>
  <c r="I9" i="1"/>
  <c r="J8" i="4"/>
  <c r="Q60" i="19"/>
  <c r="E58" i="9"/>
  <c r="O58" i="9"/>
  <c r="E60" i="19"/>
  <c r="L58" i="9"/>
  <c r="R60" i="19"/>
  <c r="E9" i="4"/>
  <c r="I9" i="4" s="1"/>
  <c r="H17" i="21"/>
  <c r="K39" i="27"/>
  <c r="Q39" i="27"/>
  <c r="F58" i="9"/>
  <c r="P60" i="19"/>
  <c r="D7" i="19"/>
  <c r="N60" i="19"/>
  <c r="K60" i="19"/>
  <c r="I60" i="19"/>
  <c r="I58" i="9"/>
  <c r="J60" i="19"/>
  <c r="F60" i="19"/>
  <c r="M58" i="9"/>
  <c r="G58" i="9"/>
  <c r="R58" i="9"/>
  <c r="G17" i="21"/>
  <c r="K23" i="9"/>
  <c r="N23" i="9"/>
  <c r="N23" i="19"/>
  <c r="I7" i="21"/>
  <c r="I10" i="21" s="1"/>
  <c r="M23" i="9"/>
  <c r="Q58" i="9"/>
  <c r="O23" i="9"/>
  <c r="T39" i="27"/>
  <c r="L23" i="9"/>
  <c r="Q23" i="9"/>
  <c r="G23" i="19"/>
  <c r="H23" i="9"/>
  <c r="K23" i="19"/>
  <c r="J23" i="9"/>
  <c r="G23" i="9"/>
  <c r="H60" i="19"/>
  <c r="L60" i="19"/>
  <c r="O60" i="19"/>
  <c r="M60" i="19"/>
  <c r="D58" i="9"/>
  <c r="K58" i="9"/>
  <c r="P58" i="9"/>
  <c r="I11" i="1"/>
  <c r="W39" i="27"/>
  <c r="J52" i="27"/>
  <c r="M39" i="27"/>
  <c r="G60" i="19"/>
  <c r="J58" i="9"/>
  <c r="N58" i="9"/>
  <c r="E10" i="1"/>
  <c r="K10" i="1" s="1"/>
  <c r="D74" i="21"/>
  <c r="D75" i="21" s="1"/>
  <c r="C4" i="15"/>
  <c r="D4" i="15" s="1"/>
  <c r="E4" i="15" s="1"/>
  <c r="F4" i="15" s="1"/>
  <c r="V39" i="27"/>
  <c r="K11" i="1"/>
  <c r="N9" i="9" s="1"/>
  <c r="K13" i="4"/>
  <c r="K14" i="4"/>
  <c r="S30" i="19" s="1"/>
  <c r="K8" i="4"/>
  <c r="Q24" i="19" s="1"/>
  <c r="K18" i="4"/>
  <c r="Q34" i="19" s="1"/>
  <c r="G52" i="11"/>
  <c r="F40" i="11"/>
  <c r="G50" i="11"/>
  <c r="G51" i="11" s="1"/>
  <c r="H44" i="11"/>
  <c r="J44" i="11" s="1"/>
  <c r="H45" i="11"/>
  <c r="J45" i="11" s="1"/>
  <c r="E16" i="4"/>
  <c r="E17" i="1"/>
  <c r="C40" i="21"/>
  <c r="D40" i="21" s="1"/>
  <c r="C24" i="16"/>
  <c r="H5" i="21"/>
  <c r="S19" i="9"/>
  <c r="G9" i="27"/>
  <c r="R9" i="27"/>
  <c r="H9" i="27"/>
  <c r="D22" i="27"/>
  <c r="D20" i="19"/>
  <c r="G6" i="21"/>
  <c r="H14" i="27"/>
  <c r="G14" i="27"/>
  <c r="L13" i="1"/>
  <c r="N11" i="19"/>
  <c r="H11" i="19"/>
  <c r="Q11" i="19"/>
  <c r="P11" i="9"/>
  <c r="L11" i="9"/>
  <c r="H11" i="9"/>
  <c r="D11" i="9"/>
  <c r="R11" i="9"/>
  <c r="N11" i="9"/>
  <c r="J11" i="9"/>
  <c r="F11" i="9"/>
  <c r="Q11" i="9"/>
  <c r="I11" i="9"/>
  <c r="F51" i="21"/>
  <c r="O11" i="9"/>
  <c r="G11" i="9"/>
  <c r="K11" i="19"/>
  <c r="M11" i="9"/>
  <c r="E11" i="9"/>
  <c r="K11" i="9"/>
  <c r="E9" i="5"/>
  <c r="C54" i="21" s="1"/>
  <c r="D54" i="21" s="1"/>
  <c r="G7" i="5"/>
  <c r="J10" i="19"/>
  <c r="O10" i="19"/>
  <c r="Q10" i="9"/>
  <c r="M10" i="9"/>
  <c r="I10" i="9"/>
  <c r="E10" i="9"/>
  <c r="O10" i="9"/>
  <c r="K10" i="9"/>
  <c r="G10" i="9"/>
  <c r="R10" i="9"/>
  <c r="J10" i="9"/>
  <c r="L12" i="1"/>
  <c r="P10" i="9"/>
  <c r="H10" i="9"/>
  <c r="N10" i="9"/>
  <c r="F10" i="9"/>
  <c r="L10" i="9"/>
  <c r="F50" i="21"/>
  <c r="D10" i="9"/>
  <c r="N14" i="19"/>
  <c r="Q14" i="9"/>
  <c r="M14" i="9"/>
  <c r="I14" i="9"/>
  <c r="E14" i="9"/>
  <c r="O14" i="9"/>
  <c r="K14" i="9"/>
  <c r="G14" i="9"/>
  <c r="R14" i="9"/>
  <c r="J14" i="9"/>
  <c r="L16" i="1"/>
  <c r="P14" i="9"/>
  <c r="H14" i="9"/>
  <c r="N14" i="9"/>
  <c r="F14" i="9"/>
  <c r="F39" i="21"/>
  <c r="L14" i="9"/>
  <c r="D14" i="9"/>
  <c r="H15" i="27"/>
  <c r="G15" i="27"/>
  <c r="K11" i="4"/>
  <c r="K12" i="4"/>
  <c r="R13" i="9"/>
  <c r="N13" i="9"/>
  <c r="J13" i="9"/>
  <c r="F13" i="9"/>
  <c r="P13" i="9"/>
  <c r="L13" i="9"/>
  <c r="H13" i="9"/>
  <c r="D13" i="9"/>
  <c r="M13" i="9"/>
  <c r="E13" i="9"/>
  <c r="K13" i="9"/>
  <c r="Q13" i="9"/>
  <c r="I13" i="9"/>
  <c r="O13" i="9"/>
  <c r="G13" i="9"/>
  <c r="D21" i="27"/>
  <c r="D19" i="19"/>
  <c r="G5" i="21"/>
  <c r="R30" i="9"/>
  <c r="S6" i="9"/>
  <c r="H4" i="21"/>
  <c r="K17" i="19"/>
  <c r="Q17" i="19"/>
  <c r="N17" i="19"/>
  <c r="R17" i="9"/>
  <c r="N17" i="9"/>
  <c r="J17" i="9"/>
  <c r="F17" i="9"/>
  <c r="L19" i="1"/>
  <c r="P17" i="9"/>
  <c r="L17" i="9"/>
  <c r="H17" i="9"/>
  <c r="D17" i="9"/>
  <c r="M17" i="9"/>
  <c r="E17" i="9"/>
  <c r="K17" i="9"/>
  <c r="H17" i="19"/>
  <c r="Q17" i="9"/>
  <c r="I17" i="9"/>
  <c r="F44" i="21"/>
  <c r="O17" i="9"/>
  <c r="G17" i="9"/>
  <c r="S20" i="9"/>
  <c r="H6" i="21"/>
  <c r="D8" i="27"/>
  <c r="D6" i="19"/>
  <c r="G4" i="21"/>
  <c r="K10" i="4"/>
  <c r="K15" i="4"/>
  <c r="O12" i="9"/>
  <c r="K12" i="9"/>
  <c r="G12" i="9"/>
  <c r="Q12" i="9"/>
  <c r="M12" i="9"/>
  <c r="I12" i="9"/>
  <c r="E12" i="9"/>
  <c r="N12" i="9"/>
  <c r="F12" i="9"/>
  <c r="L12" i="9"/>
  <c r="D12" i="9"/>
  <c r="R12" i="9"/>
  <c r="J12" i="9"/>
  <c r="P12" i="9"/>
  <c r="H12" i="9"/>
  <c r="D15" i="26"/>
  <c r="C4" i="13"/>
  <c r="Q16" i="19"/>
  <c r="O16" i="9"/>
  <c r="K16" i="9"/>
  <c r="G16" i="9"/>
  <c r="H16" i="19"/>
  <c r="R16" i="9"/>
  <c r="N16" i="9"/>
  <c r="J16" i="9"/>
  <c r="F16" i="9"/>
  <c r="M16" i="9"/>
  <c r="E16" i="9"/>
  <c r="K16" i="19"/>
  <c r="L18" i="1"/>
  <c r="N16" i="19"/>
  <c r="Q16" i="9"/>
  <c r="I16" i="9"/>
  <c r="P16" i="9"/>
  <c r="H16" i="9"/>
  <c r="L16" i="9"/>
  <c r="D16" i="9"/>
  <c r="F43" i="21"/>
  <c r="K17" i="4"/>
  <c r="R7" i="9" l="1"/>
  <c r="K7" i="9"/>
  <c r="I7" i="9"/>
  <c r="J7" i="9"/>
  <c r="O7" i="9"/>
  <c r="J9" i="4"/>
  <c r="K9" i="4" s="1"/>
  <c r="J25" i="19" s="1"/>
  <c r="E7" i="9"/>
  <c r="N7" i="19"/>
  <c r="D7" i="9"/>
  <c r="Q30" i="9"/>
  <c r="G7" i="9"/>
  <c r="F7" i="9"/>
  <c r="H7" i="9"/>
  <c r="M7" i="9"/>
  <c r="Q7" i="9"/>
  <c r="N7" i="9"/>
  <c r="L7" i="9"/>
  <c r="R30" i="19"/>
  <c r="G30" i="9"/>
  <c r="E30" i="9"/>
  <c r="I30" i="19"/>
  <c r="H30" i="9"/>
  <c r="K30" i="19"/>
  <c r="R9" i="9"/>
  <c r="M9" i="9"/>
  <c r="L24" i="9"/>
  <c r="I10" i="1"/>
  <c r="Q34" i="9"/>
  <c r="I37" i="21"/>
  <c r="I38" i="21"/>
  <c r="J30" i="19"/>
  <c r="E30" i="19"/>
  <c r="J10" i="1"/>
  <c r="P9" i="9"/>
  <c r="I30" i="9"/>
  <c r="D30" i="9"/>
  <c r="N30" i="9"/>
  <c r="G30" i="19"/>
  <c r="I9" i="9"/>
  <c r="F24" i="19"/>
  <c r="Q9" i="9"/>
  <c r="F9" i="9"/>
  <c r="H34" i="19"/>
  <c r="E24" i="19"/>
  <c r="O9" i="9"/>
  <c r="K9" i="9"/>
  <c r="H9" i="9"/>
  <c r="J9" i="9"/>
  <c r="N9" i="19"/>
  <c r="O34" i="19"/>
  <c r="D9" i="9"/>
  <c r="L11" i="1"/>
  <c r="D9" i="19" s="1"/>
  <c r="F34" i="9"/>
  <c r="K24" i="9"/>
  <c r="G9" i="9"/>
  <c r="E9" i="9"/>
  <c r="L9" i="9"/>
  <c r="E24" i="9"/>
  <c r="H24" i="19"/>
  <c r="M24" i="19"/>
  <c r="O30" i="9"/>
  <c r="K30" i="9"/>
  <c r="M30" i="9"/>
  <c r="L30" i="9"/>
  <c r="F30" i="9"/>
  <c r="F30" i="19"/>
  <c r="M30" i="19"/>
  <c r="O30" i="19"/>
  <c r="I30" i="21"/>
  <c r="R24" i="19"/>
  <c r="R24" i="9"/>
  <c r="G24" i="19"/>
  <c r="N29" i="19"/>
  <c r="L29" i="19"/>
  <c r="Q29" i="9"/>
  <c r="Q29" i="19"/>
  <c r="G29" i="9"/>
  <c r="G29" i="19"/>
  <c r="P29" i="9"/>
  <c r="N29" i="9"/>
  <c r="J29" i="19"/>
  <c r="H29" i="19"/>
  <c r="M29" i="9"/>
  <c r="I29" i="19"/>
  <c r="K29" i="19"/>
  <c r="R29" i="9"/>
  <c r="H29" i="9"/>
  <c r="F29" i="9"/>
  <c r="F29" i="19"/>
  <c r="M29" i="19"/>
  <c r="I29" i="9"/>
  <c r="O29" i="9"/>
  <c r="L29" i="9"/>
  <c r="J29" i="9"/>
  <c r="I36" i="21"/>
  <c r="I35" i="21"/>
  <c r="R29" i="19"/>
  <c r="P29" i="19"/>
  <c r="E29" i="19"/>
  <c r="E29" i="9"/>
  <c r="K29" i="9"/>
  <c r="D29" i="9"/>
  <c r="S29" i="19"/>
  <c r="O29" i="19"/>
  <c r="J24" i="9"/>
  <c r="P30" i="19"/>
  <c r="H30" i="19"/>
  <c r="L30" i="19"/>
  <c r="P30" i="9"/>
  <c r="J30" i="9"/>
  <c r="N30" i="19"/>
  <c r="Q30" i="19"/>
  <c r="Q24" i="9"/>
  <c r="G24" i="9"/>
  <c r="D24" i="9"/>
  <c r="O24" i="19"/>
  <c r="F52" i="21"/>
  <c r="P34" i="9"/>
  <c r="E34" i="19"/>
  <c r="K34" i="19"/>
  <c r="I24" i="9"/>
  <c r="N24" i="19"/>
  <c r="I33" i="21"/>
  <c r="F24" i="9"/>
  <c r="L24" i="19"/>
  <c r="P24" i="9"/>
  <c r="K24" i="19"/>
  <c r="I24" i="19"/>
  <c r="J24" i="19"/>
  <c r="M24" i="9"/>
  <c r="O24" i="9"/>
  <c r="N24" i="9"/>
  <c r="H24" i="9"/>
  <c r="P24" i="19"/>
  <c r="S24" i="19"/>
  <c r="F45" i="21"/>
  <c r="J34" i="9"/>
  <c r="S34" i="19"/>
  <c r="I34" i="9"/>
  <c r="L34" i="19"/>
  <c r="L34" i="9"/>
  <c r="K34" i="9"/>
  <c r="P34" i="19"/>
  <c r="M34" i="19"/>
  <c r="I44" i="21"/>
  <c r="D34" i="9"/>
  <c r="N34" i="9"/>
  <c r="G34" i="9"/>
  <c r="E34" i="9"/>
  <c r="F34" i="19"/>
  <c r="G34" i="19"/>
  <c r="I34" i="19"/>
  <c r="R34" i="9"/>
  <c r="N34" i="19"/>
  <c r="H34" i="9"/>
  <c r="O34" i="9"/>
  <c r="M34" i="9"/>
  <c r="J34" i="19"/>
  <c r="R34" i="19"/>
  <c r="X14" i="27"/>
  <c r="G53" i="11"/>
  <c r="C62" i="16" s="1"/>
  <c r="E12" i="23" s="1"/>
  <c r="H12" i="23" s="1"/>
  <c r="H16" i="23" s="1"/>
  <c r="D80" i="21" s="1"/>
  <c r="H42" i="11"/>
  <c r="J42" i="11" s="1"/>
  <c r="H41" i="11"/>
  <c r="J41" i="11" s="1"/>
  <c r="J46" i="11" s="1"/>
  <c r="G48" i="11" s="1"/>
  <c r="S26" i="19"/>
  <c r="O26" i="19"/>
  <c r="K26" i="19"/>
  <c r="G26" i="19"/>
  <c r="Q26" i="19"/>
  <c r="M26" i="19"/>
  <c r="I26" i="19"/>
  <c r="E26" i="19"/>
  <c r="R26" i="19"/>
  <c r="J26" i="19"/>
  <c r="R26" i="9"/>
  <c r="N26" i="9"/>
  <c r="J26" i="9"/>
  <c r="F26" i="9"/>
  <c r="N26" i="19"/>
  <c r="F26" i="19"/>
  <c r="P26" i="9"/>
  <c r="L26" i="9"/>
  <c r="H26" i="9"/>
  <c r="D26" i="9"/>
  <c r="H26" i="19"/>
  <c r="Q26" i="9"/>
  <c r="I26" i="9"/>
  <c r="O26" i="9"/>
  <c r="G26" i="9"/>
  <c r="P26" i="19"/>
  <c r="M26" i="9"/>
  <c r="E26" i="9"/>
  <c r="L26" i="19"/>
  <c r="K26" i="9"/>
  <c r="G21" i="27"/>
  <c r="H21" i="27"/>
  <c r="P27" i="19"/>
  <c r="L27" i="19"/>
  <c r="H27" i="19"/>
  <c r="R27" i="19"/>
  <c r="N27" i="19"/>
  <c r="J27" i="19"/>
  <c r="F27" i="19"/>
  <c r="S27" i="19"/>
  <c r="K27" i="19"/>
  <c r="O27" i="9"/>
  <c r="K27" i="9"/>
  <c r="G27" i="9"/>
  <c r="O27" i="19"/>
  <c r="G27" i="19"/>
  <c r="Q27" i="9"/>
  <c r="M27" i="9"/>
  <c r="I27" i="9"/>
  <c r="E27" i="9"/>
  <c r="I27" i="19"/>
  <c r="R27" i="9"/>
  <c r="J27" i="9"/>
  <c r="E27" i="19"/>
  <c r="P27" i="9"/>
  <c r="H27" i="9"/>
  <c r="Q27" i="19"/>
  <c r="N27" i="9"/>
  <c r="F27" i="9"/>
  <c r="I50" i="21"/>
  <c r="M27" i="19"/>
  <c r="L27" i="9"/>
  <c r="D27" i="9"/>
  <c r="C56" i="21"/>
  <c r="D56" i="21" s="1"/>
  <c r="E19" i="4"/>
  <c r="E20" i="1"/>
  <c r="D4" i="13"/>
  <c r="E15" i="26"/>
  <c r="G10" i="21"/>
  <c r="O8" i="9"/>
  <c r="K8" i="9"/>
  <c r="G8" i="9"/>
  <c r="Q8" i="9"/>
  <c r="M8" i="9"/>
  <c r="I8" i="9"/>
  <c r="E8" i="9"/>
  <c r="N8" i="9"/>
  <c r="F8" i="9"/>
  <c r="L10" i="1"/>
  <c r="N8" i="19"/>
  <c r="L8" i="9"/>
  <c r="D8" i="9"/>
  <c r="R8" i="9"/>
  <c r="J8" i="9"/>
  <c r="P8" i="9"/>
  <c r="H8" i="9"/>
  <c r="X15" i="27"/>
  <c r="D12" i="27"/>
  <c r="D10" i="19"/>
  <c r="G50" i="21" s="1"/>
  <c r="Q41" i="19"/>
  <c r="Q43" i="19" s="1"/>
  <c r="M41" i="19"/>
  <c r="M43" i="19" s="1"/>
  <c r="I41" i="19"/>
  <c r="I43" i="19" s="1"/>
  <c r="E41" i="19"/>
  <c r="E43" i="19" s="1"/>
  <c r="P41" i="19"/>
  <c r="P43" i="19" s="1"/>
  <c r="L41" i="19"/>
  <c r="L43" i="19" s="1"/>
  <c r="H41" i="19"/>
  <c r="H43" i="19" s="1"/>
  <c r="G9" i="5"/>
  <c r="I54" i="21" s="1"/>
  <c r="S41" i="19"/>
  <c r="S43" i="19" s="1"/>
  <c r="K41" i="19"/>
  <c r="K43" i="19" s="1"/>
  <c r="O41" i="19"/>
  <c r="O43" i="19" s="1"/>
  <c r="G41" i="19"/>
  <c r="G43" i="19" s="1"/>
  <c r="J41" i="19"/>
  <c r="J43" i="19" s="1"/>
  <c r="P41" i="9"/>
  <c r="P43" i="9" s="1"/>
  <c r="L41" i="9"/>
  <c r="L43" i="9" s="1"/>
  <c r="H41" i="9"/>
  <c r="H43" i="9" s="1"/>
  <c r="D41" i="9"/>
  <c r="D43" i="9" s="1"/>
  <c r="R41" i="19"/>
  <c r="R43" i="19" s="1"/>
  <c r="R41" i="9"/>
  <c r="R43" i="9" s="1"/>
  <c r="N41" i="9"/>
  <c r="N43" i="9" s="1"/>
  <c r="J41" i="9"/>
  <c r="J43" i="9" s="1"/>
  <c r="F41" i="9"/>
  <c r="F43" i="9" s="1"/>
  <c r="F41" i="19"/>
  <c r="F43" i="19" s="1"/>
  <c r="K41" i="9"/>
  <c r="K43" i="9" s="1"/>
  <c r="Q41" i="9"/>
  <c r="Q43" i="9" s="1"/>
  <c r="I41" i="9"/>
  <c r="I43" i="9" s="1"/>
  <c r="O41" i="9"/>
  <c r="O43" i="9" s="1"/>
  <c r="G41" i="9"/>
  <c r="G43" i="9" s="1"/>
  <c r="N41" i="19"/>
  <c r="N43" i="19" s="1"/>
  <c r="M41" i="9"/>
  <c r="M43" i="9" s="1"/>
  <c r="E41" i="9"/>
  <c r="E43" i="9" s="1"/>
  <c r="D13" i="27"/>
  <c r="D11" i="19"/>
  <c r="G51" i="21" s="1"/>
  <c r="X9" i="27"/>
  <c r="S31" i="19"/>
  <c r="P31" i="19"/>
  <c r="L31" i="19"/>
  <c r="H31" i="19"/>
  <c r="R31" i="19"/>
  <c r="N31" i="19"/>
  <c r="J31" i="19"/>
  <c r="F31" i="19"/>
  <c r="O31" i="19"/>
  <c r="G31" i="19"/>
  <c r="O31" i="9"/>
  <c r="K31" i="9"/>
  <c r="G31" i="9"/>
  <c r="K31" i="19"/>
  <c r="Q31" i="9"/>
  <c r="M31" i="9"/>
  <c r="I31" i="9"/>
  <c r="E31" i="9"/>
  <c r="M31" i="19"/>
  <c r="N31" i="9"/>
  <c r="F31" i="9"/>
  <c r="I31" i="19"/>
  <c r="L31" i="9"/>
  <c r="D31" i="9"/>
  <c r="E31" i="19"/>
  <c r="R31" i="9"/>
  <c r="J31" i="9"/>
  <c r="Q31" i="19"/>
  <c r="P31" i="9"/>
  <c r="H31" i="9"/>
  <c r="I39" i="21"/>
  <c r="H44" i="21"/>
  <c r="S17" i="9"/>
  <c r="D19" i="27"/>
  <c r="D17" i="19"/>
  <c r="G44" i="21" s="1"/>
  <c r="H10" i="21"/>
  <c r="D16" i="27"/>
  <c r="D14" i="19"/>
  <c r="G39" i="21" s="1"/>
  <c r="S10" i="9"/>
  <c r="H50" i="21"/>
  <c r="H51" i="21"/>
  <c r="S11" i="9"/>
  <c r="H22" i="27"/>
  <c r="G22" i="27"/>
  <c r="J17" i="1"/>
  <c r="I17" i="1"/>
  <c r="K17" i="1"/>
  <c r="K21" i="19"/>
  <c r="H21" i="19"/>
  <c r="Q21" i="19"/>
  <c r="S12" i="9"/>
  <c r="H8" i="27"/>
  <c r="G8" i="27"/>
  <c r="S13" i="9"/>
  <c r="Q28" i="19"/>
  <c r="M28" i="19"/>
  <c r="I28" i="19"/>
  <c r="E28" i="19"/>
  <c r="S28" i="19"/>
  <c r="O28" i="19"/>
  <c r="K28" i="19"/>
  <c r="G28" i="19"/>
  <c r="L28" i="19"/>
  <c r="P28" i="9"/>
  <c r="L28" i="9"/>
  <c r="H28" i="9"/>
  <c r="D28" i="9"/>
  <c r="P28" i="19"/>
  <c r="H28" i="19"/>
  <c r="R28" i="9"/>
  <c r="N28" i="9"/>
  <c r="J28" i="9"/>
  <c r="F28" i="9"/>
  <c r="J28" i="19"/>
  <c r="K28" i="9"/>
  <c r="F28" i="19"/>
  <c r="Q28" i="9"/>
  <c r="I28" i="9"/>
  <c r="R28" i="19"/>
  <c r="O28" i="9"/>
  <c r="G28" i="9"/>
  <c r="N28" i="19"/>
  <c r="M28" i="9"/>
  <c r="E28" i="9"/>
  <c r="I51" i="21"/>
  <c r="S14" i="9"/>
  <c r="H39" i="21"/>
  <c r="I16" i="4"/>
  <c r="J16" i="4"/>
  <c r="D16" i="19"/>
  <c r="D18" i="27"/>
  <c r="R33" i="19"/>
  <c r="N33" i="19"/>
  <c r="J33" i="19"/>
  <c r="F33" i="19"/>
  <c r="Q33" i="9"/>
  <c r="M33" i="9"/>
  <c r="I33" i="9"/>
  <c r="E33" i="9"/>
  <c r="Q33" i="19"/>
  <c r="M33" i="19"/>
  <c r="I33" i="19"/>
  <c r="E33" i="19"/>
  <c r="P33" i="9"/>
  <c r="L33" i="9"/>
  <c r="H33" i="9"/>
  <c r="D33" i="9"/>
  <c r="L33" i="19"/>
  <c r="K33" i="9"/>
  <c r="I43" i="21"/>
  <c r="S33" i="19"/>
  <c r="K33" i="19"/>
  <c r="R33" i="9"/>
  <c r="J33" i="9"/>
  <c r="P33" i="19"/>
  <c r="H33" i="19"/>
  <c r="O33" i="9"/>
  <c r="G33" i="9"/>
  <c r="O33" i="19"/>
  <c r="G33" i="19"/>
  <c r="N33" i="9"/>
  <c r="F33" i="9"/>
  <c r="S16" i="9"/>
  <c r="H43" i="21"/>
  <c r="H45" i="21" s="1"/>
  <c r="G4" i="15"/>
  <c r="F9" i="17" l="1"/>
  <c r="I9" i="17"/>
  <c r="O9" i="17"/>
  <c r="S7" i="9"/>
  <c r="I45" i="21"/>
  <c r="D11" i="27"/>
  <c r="G11" i="27" s="1"/>
  <c r="X8" i="27"/>
  <c r="S9" i="9"/>
  <c r="S25" i="19"/>
  <c r="L25" i="19"/>
  <c r="G25" i="9"/>
  <c r="N25" i="19"/>
  <c r="R25" i="9"/>
  <c r="M25" i="19"/>
  <c r="L25" i="9"/>
  <c r="Q25" i="9"/>
  <c r="K25" i="19"/>
  <c r="O25" i="19"/>
  <c r="K25" i="9"/>
  <c r="E25" i="9"/>
  <c r="P25" i="19"/>
  <c r="I17" i="21"/>
  <c r="I25" i="21"/>
  <c r="F25" i="9"/>
  <c r="P25" i="9"/>
  <c r="O25" i="9"/>
  <c r="I25" i="9"/>
  <c r="Q25" i="19"/>
  <c r="F25" i="19"/>
  <c r="X21" i="27"/>
  <c r="H25" i="9"/>
  <c r="I25" i="19"/>
  <c r="R25" i="19"/>
  <c r="J25" i="9"/>
  <c r="D25" i="9"/>
  <c r="N25" i="9"/>
  <c r="G25" i="19"/>
  <c r="E25" i="19"/>
  <c r="M25" i="9"/>
  <c r="H25" i="19"/>
  <c r="G49" i="11"/>
  <c r="I47" i="21"/>
  <c r="R16" i="27"/>
  <c r="G16" i="27"/>
  <c r="H16" i="27"/>
  <c r="D8" i="19"/>
  <c r="D10" i="27"/>
  <c r="E4" i="13"/>
  <c r="F15" i="26"/>
  <c r="J19" i="4"/>
  <c r="J22" i="4" s="1"/>
  <c r="I19" i="4"/>
  <c r="I52" i="21"/>
  <c r="K16" i="4"/>
  <c r="X22" i="27"/>
  <c r="H52" i="21"/>
  <c r="L13" i="27"/>
  <c r="G13" i="27"/>
  <c r="O13" i="27"/>
  <c r="H13" i="27"/>
  <c r="U13" i="27"/>
  <c r="R13" i="27"/>
  <c r="G52" i="21"/>
  <c r="S8" i="9"/>
  <c r="L17" i="1"/>
  <c r="N15" i="19"/>
  <c r="N21" i="19" s="1"/>
  <c r="P15" i="9"/>
  <c r="L15" i="9"/>
  <c r="H15" i="9"/>
  <c r="D15" i="9"/>
  <c r="R15" i="9"/>
  <c r="N15" i="9"/>
  <c r="J15" i="9"/>
  <c r="F15" i="9"/>
  <c r="Q15" i="9"/>
  <c r="I15" i="9"/>
  <c r="F40" i="21"/>
  <c r="O15" i="9"/>
  <c r="G15" i="9"/>
  <c r="M15" i="9"/>
  <c r="E15" i="9"/>
  <c r="K15" i="9"/>
  <c r="S12" i="27"/>
  <c r="N12" i="27"/>
  <c r="G12" i="27"/>
  <c r="H12" i="27"/>
  <c r="O19" i="27"/>
  <c r="R19" i="27"/>
  <c r="U19" i="27"/>
  <c r="H19" i="27"/>
  <c r="L19" i="27"/>
  <c r="G19" i="27"/>
  <c r="I20" i="1"/>
  <c r="I23" i="1" s="1"/>
  <c r="K20" i="1"/>
  <c r="M23" i="1" s="1"/>
  <c r="J20" i="1"/>
  <c r="J23" i="1" s="1"/>
  <c r="G43" i="21"/>
  <c r="G45" i="21" s="1"/>
  <c r="R18" i="27"/>
  <c r="U18" i="27"/>
  <c r="H18" i="27"/>
  <c r="O18" i="27"/>
  <c r="G18" i="27"/>
  <c r="L18" i="27"/>
  <c r="H4" i="15"/>
  <c r="L9" i="17" l="1"/>
  <c r="H11" i="27"/>
  <c r="R11" i="27"/>
  <c r="O24" i="27"/>
  <c r="O39" i="27" s="1"/>
  <c r="L24" i="27"/>
  <c r="L52" i="27" s="1"/>
  <c r="U24" i="27"/>
  <c r="U52" i="27" s="1"/>
  <c r="X13" i="27"/>
  <c r="M45" i="19"/>
  <c r="L45" i="9"/>
  <c r="E45" i="9"/>
  <c r="H45" i="9"/>
  <c r="H45" i="19"/>
  <c r="R45" i="19"/>
  <c r="P45" i="9"/>
  <c r="O45" i="9"/>
  <c r="N45" i="19"/>
  <c r="G45" i="9"/>
  <c r="G45" i="19"/>
  <c r="D45" i="9"/>
  <c r="P45" i="19"/>
  <c r="M45" i="9"/>
  <c r="Q45" i="19"/>
  <c r="I45" i="9"/>
  <c r="K45" i="19"/>
  <c r="L45" i="19"/>
  <c r="F45" i="9"/>
  <c r="E45" i="19"/>
  <c r="O45" i="19"/>
  <c r="N45" i="9"/>
  <c r="S45" i="19"/>
  <c r="K45" i="9"/>
  <c r="Q45" i="9"/>
  <c r="J45" i="19"/>
  <c r="J45" i="9"/>
  <c r="I45" i="19"/>
  <c r="F45" i="19"/>
  <c r="R45" i="9"/>
  <c r="Q18" i="9"/>
  <c r="Q21" i="9" s="1"/>
  <c r="Q5" i="26" s="1"/>
  <c r="O18" i="19"/>
  <c r="O21" i="19" s="1"/>
  <c r="D18" i="9"/>
  <c r="O18" i="9"/>
  <c r="O21" i="9" s="1"/>
  <c r="O5" i="26" s="1"/>
  <c r="F18" i="9"/>
  <c r="F21" i="9" s="1"/>
  <c r="F5" i="26" s="1"/>
  <c r="M18" i="9"/>
  <c r="M21" i="9" s="1"/>
  <c r="M5" i="26" s="1"/>
  <c r="P18" i="9"/>
  <c r="P21" i="9" s="1"/>
  <c r="P5" i="26" s="1"/>
  <c r="K18" i="9"/>
  <c r="K21" i="9" s="1"/>
  <c r="K5" i="26" s="1"/>
  <c r="G18" i="9"/>
  <c r="G21" i="9" s="1"/>
  <c r="G5" i="26" s="1"/>
  <c r="R18" i="9"/>
  <c r="R21" i="9" s="1"/>
  <c r="R5" i="26" s="1"/>
  <c r="E18" i="9"/>
  <c r="E21" i="9" s="1"/>
  <c r="H18" i="9"/>
  <c r="H21" i="9" s="1"/>
  <c r="H5" i="26" s="1"/>
  <c r="L20" i="1"/>
  <c r="L23" i="1" s="1"/>
  <c r="N18" i="9"/>
  <c r="N21" i="9" s="1"/>
  <c r="N5" i="26" s="1"/>
  <c r="I18" i="9"/>
  <c r="I21" i="9" s="1"/>
  <c r="I5" i="26" s="1"/>
  <c r="L18" i="9"/>
  <c r="L21" i="9" s="1"/>
  <c r="L5" i="26" s="1"/>
  <c r="F56" i="21"/>
  <c r="F57" i="21" s="1"/>
  <c r="F81" i="21" s="1"/>
  <c r="J18" i="19"/>
  <c r="J21" i="19" s="1"/>
  <c r="J18" i="9"/>
  <c r="J21" i="9" s="1"/>
  <c r="J5" i="26" s="1"/>
  <c r="K19" i="4"/>
  <c r="K22" i="4" s="1"/>
  <c r="I22" i="4"/>
  <c r="X12" i="27"/>
  <c r="K23" i="1"/>
  <c r="M20" i="1" s="1"/>
  <c r="E18" i="19" s="1"/>
  <c r="E21" i="19" s="1"/>
  <c r="X19" i="27"/>
  <c r="H40" i="21"/>
  <c r="S15" i="9"/>
  <c r="D21" i="9"/>
  <c r="D5" i="26" s="1"/>
  <c r="P32" i="19"/>
  <c r="L32" i="19"/>
  <c r="H32" i="19"/>
  <c r="Q32" i="19"/>
  <c r="K32" i="19"/>
  <c r="F32" i="19"/>
  <c r="S32" i="19"/>
  <c r="N32" i="19"/>
  <c r="I32" i="19"/>
  <c r="J32" i="19"/>
  <c r="P32" i="9"/>
  <c r="L32" i="9"/>
  <c r="H32" i="9"/>
  <c r="D32" i="9"/>
  <c r="O32" i="19"/>
  <c r="E32" i="19"/>
  <c r="R32" i="9"/>
  <c r="N32" i="9"/>
  <c r="J32" i="9"/>
  <c r="F32" i="9"/>
  <c r="R32" i="19"/>
  <c r="O32" i="9"/>
  <c r="G32" i="9"/>
  <c r="M32" i="19"/>
  <c r="M32" i="9"/>
  <c r="E32" i="9"/>
  <c r="G32" i="19"/>
  <c r="K32" i="9"/>
  <c r="Q32" i="9"/>
  <c r="I32" i="9"/>
  <c r="I40" i="21"/>
  <c r="H10" i="27"/>
  <c r="G10" i="27"/>
  <c r="R10" i="27"/>
  <c r="F41" i="21"/>
  <c r="D17" i="27"/>
  <c r="D15" i="19"/>
  <c r="G40" i="21"/>
  <c r="G41" i="21" s="1"/>
  <c r="F4" i="13"/>
  <c r="G15" i="26"/>
  <c r="X16" i="27"/>
  <c r="X18" i="27"/>
  <c r="I4" i="15"/>
  <c r="C9" i="17" l="1"/>
  <c r="E5" i="26"/>
  <c r="X11" i="27"/>
  <c r="O52" i="27"/>
  <c r="U39" i="27"/>
  <c r="L39" i="27"/>
  <c r="H15" i="26"/>
  <c r="G4" i="13"/>
  <c r="G17" i="27"/>
  <c r="R17" i="27"/>
  <c r="R24" i="27" s="1"/>
  <c r="H17" i="27"/>
  <c r="H9" i="17"/>
  <c r="M9" i="17"/>
  <c r="H41" i="21"/>
  <c r="D18" i="19"/>
  <c r="D21" i="19" s="1"/>
  <c r="G56" i="21"/>
  <c r="G57" i="21" s="1"/>
  <c r="G81" i="21" s="1"/>
  <c r="D20" i="27"/>
  <c r="D24" i="27" s="1"/>
  <c r="I41" i="21"/>
  <c r="X10" i="27"/>
  <c r="S5" i="26"/>
  <c r="M10" i="1"/>
  <c r="M12" i="1"/>
  <c r="M9" i="1"/>
  <c r="M18" i="1"/>
  <c r="M13" i="1"/>
  <c r="M11" i="1"/>
  <c r="M16" i="1"/>
  <c r="M14" i="1"/>
  <c r="M19" i="1"/>
  <c r="M22" i="1"/>
  <c r="M8" i="1"/>
  <c r="M21" i="1"/>
  <c r="M15" i="1"/>
  <c r="M17" i="1"/>
  <c r="H35" i="19"/>
  <c r="H39" i="19" s="1"/>
  <c r="S35" i="19"/>
  <c r="S39" i="19" s="1"/>
  <c r="R35" i="9"/>
  <c r="R39" i="9" s="1"/>
  <c r="R47" i="9" s="1"/>
  <c r="R6" i="26" s="1"/>
  <c r="R7" i="26" s="1"/>
  <c r="N35" i="19"/>
  <c r="N39" i="19" s="1"/>
  <c r="M35" i="19"/>
  <c r="M39" i="19" s="1"/>
  <c r="R35" i="19"/>
  <c r="R39" i="19" s="1"/>
  <c r="Q35" i="19"/>
  <c r="Q39" i="19" s="1"/>
  <c r="I56" i="21"/>
  <c r="I57" i="21" s="1"/>
  <c r="I81" i="21" s="1"/>
  <c r="O35" i="9"/>
  <c r="O39" i="9" s="1"/>
  <c r="O47" i="9" s="1"/>
  <c r="O6" i="26" s="1"/>
  <c r="O7" i="26" s="1"/>
  <c r="O35" i="19"/>
  <c r="O39" i="19" s="1"/>
  <c r="O47" i="19" s="1"/>
  <c r="N35" i="9"/>
  <c r="N39" i="9" s="1"/>
  <c r="N47" i="9" s="1"/>
  <c r="N6" i="26" s="1"/>
  <c r="N7" i="26" s="1"/>
  <c r="F35" i="19"/>
  <c r="F39" i="19" s="1"/>
  <c r="E35" i="19"/>
  <c r="E39" i="19" s="1"/>
  <c r="E47" i="19" s="1"/>
  <c r="J35" i="19"/>
  <c r="J39" i="19" s="1"/>
  <c r="J47" i="19" s="1"/>
  <c r="I35" i="19"/>
  <c r="I39" i="19" s="1"/>
  <c r="L35" i="19"/>
  <c r="L39" i="19" s="1"/>
  <c r="G35" i="9"/>
  <c r="G39" i="9" s="1"/>
  <c r="G47" i="9" s="1"/>
  <c r="G6" i="26" s="1"/>
  <c r="G7" i="26" s="1"/>
  <c r="F35" i="9"/>
  <c r="F39" i="9" s="1"/>
  <c r="F47" i="9" s="1"/>
  <c r="F6" i="26" s="1"/>
  <c r="F7" i="26" s="1"/>
  <c r="D35" i="9"/>
  <c r="D39" i="9" s="1"/>
  <c r="D47" i="9" s="1"/>
  <c r="D6" i="26" s="1"/>
  <c r="H35" i="9"/>
  <c r="H39" i="9" s="1"/>
  <c r="H47" i="9" s="1"/>
  <c r="H6" i="26" s="1"/>
  <c r="H7" i="26" s="1"/>
  <c r="P35" i="19"/>
  <c r="P39" i="19" s="1"/>
  <c r="K35" i="9"/>
  <c r="K39" i="9" s="1"/>
  <c r="K47" i="9" s="1"/>
  <c r="K6" i="26" s="1"/>
  <c r="K7" i="26" s="1"/>
  <c r="K35" i="19"/>
  <c r="K39" i="19" s="1"/>
  <c r="J35" i="9"/>
  <c r="J39" i="9" s="1"/>
  <c r="J47" i="9" s="1"/>
  <c r="J6" i="26" s="1"/>
  <c r="J7" i="26" s="1"/>
  <c r="M35" i="9"/>
  <c r="M39" i="9" s="1"/>
  <c r="M47" i="9" s="1"/>
  <c r="M6" i="26" s="1"/>
  <c r="M7" i="26" s="1"/>
  <c r="L35" i="9"/>
  <c r="L39" i="9" s="1"/>
  <c r="L47" i="9" s="1"/>
  <c r="L6" i="26" s="1"/>
  <c r="L7" i="26" s="1"/>
  <c r="Q35" i="9"/>
  <c r="Q39" i="9" s="1"/>
  <c r="Q47" i="9" s="1"/>
  <c r="Q6" i="26" s="1"/>
  <c r="Q7" i="26" s="1"/>
  <c r="P35" i="9"/>
  <c r="P39" i="9" s="1"/>
  <c r="P47" i="9" s="1"/>
  <c r="P6" i="26" s="1"/>
  <c r="P7" i="26" s="1"/>
  <c r="G35" i="19"/>
  <c r="G39" i="19" s="1"/>
  <c r="E35" i="9"/>
  <c r="E39" i="9" s="1"/>
  <c r="E47" i="9" s="1"/>
  <c r="E6" i="26" s="1"/>
  <c r="E7" i="26" s="1"/>
  <c r="I35" i="9"/>
  <c r="I39" i="9" s="1"/>
  <c r="I47" i="9" s="1"/>
  <c r="I6" i="26" s="1"/>
  <c r="I7" i="26" s="1"/>
  <c r="H56" i="21"/>
  <c r="H57" i="21" s="1"/>
  <c r="S18" i="9"/>
  <c r="S21" i="9" s="1"/>
  <c r="J4" i="15"/>
  <c r="R47" i="19" l="1"/>
  <c r="P10" i="17" s="1"/>
  <c r="S47" i="19"/>
  <c r="Q10" i="17" s="1"/>
  <c r="G47" i="19"/>
  <c r="E13" i="17" s="1"/>
  <c r="P47" i="19"/>
  <c r="N10" i="17" s="1"/>
  <c r="M47" i="19"/>
  <c r="K13" i="17" s="1"/>
  <c r="H47" i="19"/>
  <c r="F13" i="17" s="1"/>
  <c r="L47" i="19"/>
  <c r="J10" i="17" s="1"/>
  <c r="F47" i="19"/>
  <c r="D13" i="17" s="1"/>
  <c r="N47" i="19"/>
  <c r="L10" i="17" s="1"/>
  <c r="K47" i="19"/>
  <c r="I10" i="17" s="1"/>
  <c r="I47" i="19"/>
  <c r="G10" i="17" s="1"/>
  <c r="Q47" i="19"/>
  <c r="O13" i="17" s="1"/>
  <c r="H10" i="17"/>
  <c r="H13" i="17"/>
  <c r="M10" i="17"/>
  <c r="M13" i="17"/>
  <c r="C10" i="17"/>
  <c r="C13" i="17"/>
  <c r="K10" i="17"/>
  <c r="F10" i="17"/>
  <c r="R52" i="27"/>
  <c r="R39" i="27"/>
  <c r="P13" i="17"/>
  <c r="N20" i="27"/>
  <c r="N24" i="27" s="1"/>
  <c r="G20" i="27"/>
  <c r="S20" i="27"/>
  <c r="S24" i="27" s="1"/>
  <c r="H20" i="27"/>
  <c r="H24" i="27" s="1"/>
  <c r="H52" i="27" s="1"/>
  <c r="X17" i="27"/>
  <c r="G24" i="27"/>
  <c r="S6" i="26"/>
  <c r="I15" i="26"/>
  <c r="H4" i="13"/>
  <c r="B13" i="17"/>
  <c r="B15" i="17" s="1"/>
  <c r="B9" i="17"/>
  <c r="D7" i="26"/>
  <c r="S7" i="26" s="1"/>
  <c r="K4" i="15"/>
  <c r="E10" i="17" l="1"/>
  <c r="L13" i="17"/>
  <c r="Q13" i="17"/>
  <c r="I13" i="17"/>
  <c r="D10" i="17"/>
  <c r="N13" i="17"/>
  <c r="O10" i="17"/>
  <c r="G13" i="17"/>
  <c r="J13" i="17"/>
  <c r="C15" i="17"/>
  <c r="D15" i="17" s="1"/>
  <c r="E15" i="17" s="1"/>
  <c r="F15" i="17" s="1"/>
  <c r="S39" i="27"/>
  <c r="S52" i="27"/>
  <c r="N52" i="27"/>
  <c r="I26" i="27"/>
  <c r="N39" i="27"/>
  <c r="I4" i="13"/>
  <c r="J15" i="26"/>
  <c r="X24" i="27"/>
  <c r="G52" i="27"/>
  <c r="G26" i="27"/>
  <c r="G39" i="27"/>
  <c r="G41" i="27" s="1"/>
  <c r="X20" i="27"/>
  <c r="L4" i="15"/>
  <c r="G15" i="17" l="1"/>
  <c r="H15" i="17" s="1"/>
  <c r="I15" i="17" s="1"/>
  <c r="J15" i="17" s="1"/>
  <c r="K15" i="17" s="1"/>
  <c r="L15" i="17" s="1"/>
  <c r="M15" i="17" s="1"/>
  <c r="N15" i="17" s="1"/>
  <c r="O15" i="17" s="1"/>
  <c r="P15" i="17" s="1"/>
  <c r="Q15" i="17" s="1"/>
  <c r="G44" i="27"/>
  <c r="H38" i="27" s="1"/>
  <c r="X26" i="27"/>
  <c r="J4" i="13"/>
  <c r="K15" i="26"/>
  <c r="G54" i="27"/>
  <c r="X52" i="27"/>
  <c r="M4" i="15"/>
  <c r="L15" i="26" l="1"/>
  <c r="K4" i="13"/>
  <c r="H39" i="27"/>
  <c r="H41" i="27" s="1"/>
  <c r="H51" i="27"/>
  <c r="H54" i="27" s="1"/>
  <c r="G57" i="27"/>
  <c r="G61" i="27" s="1"/>
  <c r="N4" i="15"/>
  <c r="I51" i="27" l="1"/>
  <c r="I54" i="27" s="1"/>
  <c r="H57" i="27"/>
  <c r="L4" i="13"/>
  <c r="M15" i="26"/>
  <c r="H44" i="27"/>
  <c r="I38" i="27" s="1"/>
  <c r="M30" i="27" s="1"/>
  <c r="O4" i="15"/>
  <c r="N15" i="26" l="1"/>
  <c r="M4" i="13"/>
  <c r="I57" i="27"/>
  <c r="J51" i="27"/>
  <c r="J54" i="27" s="1"/>
  <c r="V44" i="27"/>
  <c r="Q9" i="26" s="1"/>
  <c r="R44" i="27"/>
  <c r="M9" i="26" s="1"/>
  <c r="N44" i="27"/>
  <c r="I9" i="26" s="1"/>
  <c r="J44" i="27"/>
  <c r="E9" i="26" s="1"/>
  <c r="Q30" i="27"/>
  <c r="U44" i="27"/>
  <c r="P9" i="26" s="1"/>
  <c r="Q44" i="27"/>
  <c r="L9" i="26" s="1"/>
  <c r="M44" i="27"/>
  <c r="H9" i="26" s="1"/>
  <c r="I44" i="27"/>
  <c r="T44" i="27"/>
  <c r="O9" i="26" s="1"/>
  <c r="L44" i="27"/>
  <c r="G9" i="26" s="1"/>
  <c r="S44" i="27"/>
  <c r="N9" i="26" s="1"/>
  <c r="K44" i="27"/>
  <c r="F9" i="26" s="1"/>
  <c r="O44" i="27"/>
  <c r="J9" i="26" s="1"/>
  <c r="W44" i="27"/>
  <c r="R9" i="26" s="1"/>
  <c r="P44" i="27"/>
  <c r="K9" i="26" s="1"/>
  <c r="I39" i="27"/>
  <c r="H61" i="27"/>
  <c r="D50" i="19" s="1"/>
  <c r="P4" i="15"/>
  <c r="J57" i="27" l="1"/>
  <c r="J61" i="27" s="1"/>
  <c r="K51" i="27"/>
  <c r="K54" i="27" s="1"/>
  <c r="N4" i="13"/>
  <c r="O15" i="26"/>
  <c r="K10" i="26"/>
  <c r="K11" i="26" s="1"/>
  <c r="K13" i="26" s="1"/>
  <c r="K17" i="26" s="1"/>
  <c r="H10" i="26"/>
  <c r="H11" i="26" s="1"/>
  <c r="D52" i="19"/>
  <c r="B3" i="15" s="1"/>
  <c r="B16" i="15" s="1"/>
  <c r="D53" i="19"/>
  <c r="G10" i="26"/>
  <c r="G11" i="26" s="1"/>
  <c r="G13" i="26" s="1"/>
  <c r="G17" i="26" s="1"/>
  <c r="X44" i="27"/>
  <c r="J10" i="26"/>
  <c r="J11" i="26" s="1"/>
  <c r="O10" i="26"/>
  <c r="O11" i="26" s="1"/>
  <c r="O13" i="26" s="1"/>
  <c r="P10" i="26"/>
  <c r="M10" i="26"/>
  <c r="M11" i="26" s="1"/>
  <c r="M13" i="26" s="1"/>
  <c r="M17" i="26" s="1"/>
  <c r="N10" i="26"/>
  <c r="N11" i="26" s="1"/>
  <c r="N13" i="26" s="1"/>
  <c r="N17" i="26" s="1"/>
  <c r="R10" i="26"/>
  <c r="R11" i="26" s="1"/>
  <c r="L10" i="26"/>
  <c r="L11" i="26" s="1"/>
  <c r="L13" i="26" s="1"/>
  <c r="L17" i="26" s="1"/>
  <c r="X39" i="27"/>
  <c r="F10" i="26"/>
  <c r="F11" i="26" s="1"/>
  <c r="D9" i="26"/>
  <c r="I61" i="27"/>
  <c r="W43" i="27"/>
  <c r="S43" i="27"/>
  <c r="O43" i="27"/>
  <c r="O40" i="27" s="1"/>
  <c r="I14" i="15" s="1"/>
  <c r="K43" i="27"/>
  <c r="K40" i="27" s="1"/>
  <c r="E14" i="15" s="1"/>
  <c r="V43" i="27"/>
  <c r="R43" i="27"/>
  <c r="N43" i="27"/>
  <c r="N40" i="27" s="1"/>
  <c r="H14" i="15" s="1"/>
  <c r="J43" i="27"/>
  <c r="J40" i="27" s="1"/>
  <c r="D14" i="15" s="1"/>
  <c r="U43" i="27"/>
  <c r="M43" i="27"/>
  <c r="M40" i="27" s="1"/>
  <c r="G14" i="15" s="1"/>
  <c r="T43" i="27"/>
  <c r="L43" i="27"/>
  <c r="L40" i="27" s="1"/>
  <c r="F14" i="15" s="1"/>
  <c r="P43" i="27"/>
  <c r="P40" i="27" s="1"/>
  <c r="J14" i="15" s="1"/>
  <c r="I43" i="27"/>
  <c r="I40" i="27" s="1"/>
  <c r="Q43" i="27"/>
  <c r="Q10" i="26"/>
  <c r="Q11" i="26" s="1"/>
  <c r="Q13" i="26" s="1"/>
  <c r="E10" i="26"/>
  <c r="E11" i="26" s="1"/>
  <c r="I10" i="26"/>
  <c r="I11" i="26" s="1"/>
  <c r="I13" i="26" s="1"/>
  <c r="I17" i="26" s="1"/>
  <c r="Q4" i="15"/>
  <c r="H13" i="26" l="1"/>
  <c r="H17" i="26" s="1"/>
  <c r="O4" i="13"/>
  <c r="P15" i="26"/>
  <c r="K57" i="27"/>
  <c r="K61" i="27" s="1"/>
  <c r="L51" i="27"/>
  <c r="L54" i="27" s="1"/>
  <c r="O17" i="26"/>
  <c r="E13" i="26"/>
  <c r="E17" i="26" s="1"/>
  <c r="E49" i="9"/>
  <c r="F50" i="19"/>
  <c r="F53" i="19" s="1"/>
  <c r="F13" i="26"/>
  <c r="F17" i="26" s="1"/>
  <c r="R13" i="26"/>
  <c r="S9" i="26"/>
  <c r="D10" i="26"/>
  <c r="S10" i="26" s="1"/>
  <c r="C14" i="15"/>
  <c r="R40" i="27"/>
  <c r="L14" i="15" s="1"/>
  <c r="S40" i="27"/>
  <c r="M14" i="15" s="1"/>
  <c r="I41" i="27"/>
  <c r="J38" i="27" s="1"/>
  <c r="J41" i="27" s="1"/>
  <c r="K38" i="27" s="1"/>
  <c r="K41" i="27" s="1"/>
  <c r="L38" i="27" s="1"/>
  <c r="L41" i="27" s="1"/>
  <c r="M38" i="27" s="1"/>
  <c r="M41" i="27" s="1"/>
  <c r="N38" i="27" s="1"/>
  <c r="N41" i="27" s="1"/>
  <c r="O38" i="27" s="1"/>
  <c r="O41" i="27" s="1"/>
  <c r="P38" i="27" s="1"/>
  <c r="P41" i="27" s="1"/>
  <c r="Q38" i="27" s="1"/>
  <c r="P11" i="26"/>
  <c r="J13" i="26"/>
  <c r="J17" i="26" s="1"/>
  <c r="Q40" i="27"/>
  <c r="K14" i="15" s="1"/>
  <c r="T40" i="27"/>
  <c r="N14" i="15" s="1"/>
  <c r="U40" i="27"/>
  <c r="O14" i="15" s="1"/>
  <c r="V40" i="27"/>
  <c r="P14" i="15" s="1"/>
  <c r="W40" i="27"/>
  <c r="Q14" i="15" s="1"/>
  <c r="B16" i="17"/>
  <c r="E51" i="9" l="1"/>
  <c r="D12" i="17" s="1"/>
  <c r="D11" i="17"/>
  <c r="F52" i="19"/>
  <c r="D3" i="15" s="1"/>
  <c r="D9" i="15" s="1"/>
  <c r="F49" i="9"/>
  <c r="F51" i="9" s="1"/>
  <c r="E12" i="17" s="1"/>
  <c r="P4" i="13"/>
  <c r="Q15" i="26"/>
  <c r="Q17" i="26" s="1"/>
  <c r="G50" i="19"/>
  <c r="G53" i="19" s="1"/>
  <c r="L57" i="27"/>
  <c r="M51" i="27"/>
  <c r="M54" i="27" s="1"/>
  <c r="D11" i="26"/>
  <c r="S11" i="26" s="1"/>
  <c r="W45" i="27"/>
  <c r="T45" i="27"/>
  <c r="X40" i="27"/>
  <c r="Q45" i="27"/>
  <c r="Q41" i="27"/>
  <c r="R38" i="27" s="1"/>
  <c r="R41" i="27" s="1"/>
  <c r="S38" i="27" s="1"/>
  <c r="S41" i="27" s="1"/>
  <c r="T38" i="27" s="1"/>
  <c r="T41" i="27" s="1"/>
  <c r="U38" i="27" s="1"/>
  <c r="U41" i="27" s="1"/>
  <c r="V38" i="27" s="1"/>
  <c r="V41" i="27" s="1"/>
  <c r="W38" i="27" s="1"/>
  <c r="W41" i="27" s="1"/>
  <c r="R45" i="27"/>
  <c r="U45" i="27"/>
  <c r="V45" i="27"/>
  <c r="S45" i="27"/>
  <c r="P13" i="26"/>
  <c r="P17" i="26" s="1"/>
  <c r="C3" i="13" l="1"/>
  <c r="C6" i="13" s="1"/>
  <c r="D3" i="13"/>
  <c r="D6" i="13" s="1"/>
  <c r="D6" i="15"/>
  <c r="E11" i="17"/>
  <c r="C9" i="13"/>
  <c r="C10" i="13" s="1"/>
  <c r="G52" i="19"/>
  <c r="E3" i="15" s="1"/>
  <c r="E9" i="15" s="1"/>
  <c r="M57" i="27"/>
  <c r="N51" i="27"/>
  <c r="N54" i="27" s="1"/>
  <c r="R15" i="26"/>
  <c r="R17" i="26" s="1"/>
  <c r="Q4" i="13"/>
  <c r="L61" i="27"/>
  <c r="H50" i="19"/>
  <c r="H53" i="19" s="1"/>
  <c r="G49" i="9"/>
  <c r="G51" i="9" s="1"/>
  <c r="E50" i="19"/>
  <c r="E53" i="19" s="1"/>
  <c r="D13" i="26"/>
  <c r="D17" i="26" s="1"/>
  <c r="D49" i="9"/>
  <c r="D51" i="9" s="1"/>
  <c r="D15" i="15"/>
  <c r="D10" i="15"/>
  <c r="D9" i="13" l="1"/>
  <c r="D10" i="13" s="1"/>
  <c r="E6" i="15"/>
  <c r="S15" i="26"/>
  <c r="E52" i="19"/>
  <c r="C3" i="15" s="1"/>
  <c r="E3" i="13"/>
  <c r="F12" i="17"/>
  <c r="F11" i="17"/>
  <c r="H52" i="19"/>
  <c r="F3" i="15" s="1"/>
  <c r="N57" i="27"/>
  <c r="O51" i="27"/>
  <c r="O54" i="27" s="1"/>
  <c r="S13" i="26"/>
  <c r="H49" i="9"/>
  <c r="H51" i="9" s="1"/>
  <c r="M61" i="27"/>
  <c r="I50" i="19"/>
  <c r="I53" i="19" s="1"/>
  <c r="C11" i="17"/>
  <c r="B3" i="13"/>
  <c r="C12" i="17"/>
  <c r="E10" i="15"/>
  <c r="E15" i="15"/>
  <c r="C9" i="15" l="1"/>
  <c r="C15" i="15" s="1"/>
  <c r="C6" i="15"/>
  <c r="S17" i="26"/>
  <c r="F9" i="15"/>
  <c r="F6" i="15"/>
  <c r="G11" i="17"/>
  <c r="I52" i="19"/>
  <c r="G3" i="15" s="1"/>
  <c r="O57" i="27"/>
  <c r="P51" i="27"/>
  <c r="P54" i="27" s="1"/>
  <c r="J50" i="19"/>
  <c r="J53" i="19" s="1"/>
  <c r="I49" i="9"/>
  <c r="I51" i="9" s="1"/>
  <c r="N61" i="27"/>
  <c r="G12" i="17"/>
  <c r="F3" i="13"/>
  <c r="E6" i="13"/>
  <c r="E9" i="13"/>
  <c r="E10" i="13" s="1"/>
  <c r="B6" i="13"/>
  <c r="B9" i="13"/>
  <c r="C10" i="15"/>
  <c r="C11" i="15" s="1"/>
  <c r="D11" i="15" s="1"/>
  <c r="E11" i="15" s="1"/>
  <c r="F9" i="13" l="1"/>
  <c r="F10" i="13" s="1"/>
  <c r="F6" i="13"/>
  <c r="H11" i="17"/>
  <c r="J52" i="19"/>
  <c r="H3" i="15" s="1"/>
  <c r="Q51" i="27"/>
  <c r="Q54" i="27" s="1"/>
  <c r="P57" i="27"/>
  <c r="J49" i="9"/>
  <c r="J51" i="9" s="1"/>
  <c r="O61" i="27"/>
  <c r="K50" i="19"/>
  <c r="K53" i="19" s="1"/>
  <c r="H12" i="17"/>
  <c r="G3" i="13"/>
  <c r="G9" i="15"/>
  <c r="G6" i="15"/>
  <c r="F10" i="15"/>
  <c r="F11" i="15" s="1"/>
  <c r="F15" i="15"/>
  <c r="F16" i="15" s="1"/>
  <c r="F16" i="17" s="1"/>
  <c r="D12" i="13"/>
  <c r="B10" i="13"/>
  <c r="B11" i="13" s="1"/>
  <c r="C11" i="13" s="1"/>
  <c r="D11" i="13" s="1"/>
  <c r="E11" i="13" s="1"/>
  <c r="C12" i="13"/>
  <c r="E13" i="13"/>
  <c r="B12" i="13"/>
  <c r="E12" i="13"/>
  <c r="C13" i="13"/>
  <c r="D13" i="13"/>
  <c r="B13" i="13"/>
  <c r="E16" i="15"/>
  <c r="E16" i="17" s="1"/>
  <c r="D16" i="15"/>
  <c r="D16" i="17" s="1"/>
  <c r="C16" i="15"/>
  <c r="C16" i="17" s="1"/>
  <c r="F12" i="13" l="1"/>
  <c r="F13" i="13"/>
  <c r="F11" i="13"/>
  <c r="K52" i="19"/>
  <c r="I3" i="15" s="1"/>
  <c r="I11" i="17"/>
  <c r="Q57" i="27"/>
  <c r="R51" i="27"/>
  <c r="R54" i="27" s="1"/>
  <c r="K49" i="9"/>
  <c r="K51" i="9" s="1"/>
  <c r="L50" i="19"/>
  <c r="L53" i="19" s="1"/>
  <c r="P61" i="27"/>
  <c r="G10" i="15"/>
  <c r="G11" i="15" s="1"/>
  <c r="G15" i="15"/>
  <c r="G16" i="15" s="1"/>
  <c r="G16" i="17" s="1"/>
  <c r="H9" i="15"/>
  <c r="H6" i="15"/>
  <c r="G9" i="13"/>
  <c r="G6" i="13"/>
  <c r="H3" i="13"/>
  <c r="I12" i="17"/>
  <c r="H9" i="13" l="1"/>
  <c r="H6" i="13"/>
  <c r="J11" i="17"/>
  <c r="L52" i="19"/>
  <c r="J3" i="15" s="1"/>
  <c r="I3" i="13"/>
  <c r="J12" i="17"/>
  <c r="G10" i="13"/>
  <c r="G11" i="13" s="1"/>
  <c r="G12" i="13"/>
  <c r="G13" i="13"/>
  <c r="S51" i="27"/>
  <c r="S54" i="27" s="1"/>
  <c r="R57" i="27"/>
  <c r="I9" i="15"/>
  <c r="I6" i="15"/>
  <c r="H15" i="15"/>
  <c r="H16" i="15" s="1"/>
  <c r="H16" i="17" s="1"/>
  <c r="H10" i="15"/>
  <c r="H11" i="15" s="1"/>
  <c r="L49" i="9"/>
  <c r="L51" i="9" s="1"/>
  <c r="Q61" i="27"/>
  <c r="M50" i="19"/>
  <c r="M53" i="19" s="1"/>
  <c r="M52" i="19" l="1"/>
  <c r="K3" i="15" s="1"/>
  <c r="K11" i="17"/>
  <c r="N50" i="19"/>
  <c r="N53" i="19" s="1"/>
  <c r="R61" i="27"/>
  <c r="M49" i="9"/>
  <c r="M51" i="9" s="1"/>
  <c r="S57" i="27"/>
  <c r="T51" i="27"/>
  <c r="T54" i="27" s="1"/>
  <c r="J3" i="13"/>
  <c r="K12" i="17"/>
  <c r="I6" i="13"/>
  <c r="I9" i="13"/>
  <c r="I10" i="15"/>
  <c r="I11" i="15" s="1"/>
  <c r="I15" i="15"/>
  <c r="I16" i="15" s="1"/>
  <c r="I16" i="17" s="1"/>
  <c r="J9" i="15"/>
  <c r="J6" i="15"/>
  <c r="H10" i="13"/>
  <c r="H11" i="13" s="1"/>
  <c r="H12" i="13"/>
  <c r="H13" i="13"/>
  <c r="I13" i="13"/>
  <c r="J10" i="15" l="1"/>
  <c r="J11" i="15" s="1"/>
  <c r="J15" i="15"/>
  <c r="J16" i="15" s="1"/>
  <c r="J16" i="17" s="1"/>
  <c r="O50" i="19"/>
  <c r="O53" i="19" s="1"/>
  <c r="S61" i="27"/>
  <c r="N49" i="9"/>
  <c r="N51" i="9" s="1"/>
  <c r="N52" i="19"/>
  <c r="L3" i="15" s="1"/>
  <c r="L11" i="17"/>
  <c r="J9" i="13"/>
  <c r="J6" i="13"/>
  <c r="L12" i="17"/>
  <c r="K3" i="13"/>
  <c r="K9" i="15"/>
  <c r="K6" i="15"/>
  <c r="I10" i="13"/>
  <c r="I11" i="13" s="1"/>
  <c r="I12" i="13"/>
  <c r="T57" i="27"/>
  <c r="U51" i="27"/>
  <c r="U54" i="27" s="1"/>
  <c r="K6" i="13" l="1"/>
  <c r="K9" i="13"/>
  <c r="M11" i="17"/>
  <c r="O52" i="19"/>
  <c r="M3" i="15" s="1"/>
  <c r="V51" i="27"/>
  <c r="V54" i="27" s="1"/>
  <c r="U57" i="27"/>
  <c r="L9" i="15"/>
  <c r="L6" i="15"/>
  <c r="O49" i="9"/>
  <c r="O51" i="9" s="1"/>
  <c r="T61" i="27"/>
  <c r="P50" i="19"/>
  <c r="P53" i="19" s="1"/>
  <c r="K10" i="15"/>
  <c r="K11" i="15" s="1"/>
  <c r="K15" i="15"/>
  <c r="K16" i="15" s="1"/>
  <c r="K16" i="17" s="1"/>
  <c r="J12" i="13"/>
  <c r="J13" i="13"/>
  <c r="J10" i="13"/>
  <c r="J11" i="13" s="1"/>
  <c r="L3" i="13"/>
  <c r="M12" i="17"/>
  <c r="N11" i="17" l="1"/>
  <c r="P52" i="19"/>
  <c r="N3" i="15" s="1"/>
  <c r="L10" i="15"/>
  <c r="L11" i="15" s="1"/>
  <c r="L15" i="15"/>
  <c r="L16" i="15" s="1"/>
  <c r="L16" i="17" s="1"/>
  <c r="U61" i="27"/>
  <c r="Q50" i="19"/>
  <c r="Q53" i="19" s="1"/>
  <c r="P49" i="9"/>
  <c r="P51" i="9" s="1"/>
  <c r="L6" i="13"/>
  <c r="L9" i="13"/>
  <c r="M3" i="13"/>
  <c r="N12" i="17"/>
  <c r="V57" i="27"/>
  <c r="W51" i="27"/>
  <c r="W54" i="27" s="1"/>
  <c r="W57" i="27" s="1"/>
  <c r="K13" i="13"/>
  <c r="K12" i="13"/>
  <c r="K10" i="13"/>
  <c r="K11" i="13" s="1"/>
  <c r="M6" i="15"/>
  <c r="M9" i="15"/>
  <c r="M15" i="15" l="1"/>
  <c r="M16" i="15" s="1"/>
  <c r="M16" i="17" s="1"/>
  <c r="M10" i="15"/>
  <c r="M11" i="15" s="1"/>
  <c r="N3" i="13"/>
  <c r="O12" i="17"/>
  <c r="M6" i="13"/>
  <c r="M9" i="13"/>
  <c r="M12" i="13" s="1"/>
  <c r="Q52" i="19"/>
  <c r="O3" i="15" s="1"/>
  <c r="O11" i="17"/>
  <c r="N9" i="15"/>
  <c r="N6" i="15"/>
  <c r="W61" i="27"/>
  <c r="S50" i="19"/>
  <c r="S53" i="19" s="1"/>
  <c r="R49" i="9"/>
  <c r="R51" i="9" s="1"/>
  <c r="L12" i="13"/>
  <c r="L10" i="13"/>
  <c r="L11" i="13" s="1"/>
  <c r="L13" i="13"/>
  <c r="X57" i="27"/>
  <c r="X61" i="27" s="1"/>
  <c r="V61" i="27"/>
  <c r="Q49" i="9"/>
  <c r="Q51" i="9" s="1"/>
  <c r="R50" i="19"/>
  <c r="R53" i="19" s="1"/>
  <c r="O3" i="13" l="1"/>
  <c r="P12" i="17"/>
  <c r="P11" i="17"/>
  <c r="R52" i="19"/>
  <c r="P3" i="15" s="1"/>
  <c r="O6" i="15"/>
  <c r="O9" i="15"/>
  <c r="N9" i="13"/>
  <c r="N10" i="13" s="1"/>
  <c r="N6" i="13"/>
  <c r="P3" i="13"/>
  <c r="Q12" i="17"/>
  <c r="N10" i="15"/>
  <c r="N11" i="15" s="1"/>
  <c r="N15" i="15"/>
  <c r="N16" i="15" s="1"/>
  <c r="N16" i="17" s="1"/>
  <c r="M10" i="13"/>
  <c r="M11" i="13" s="1"/>
  <c r="M13" i="13"/>
  <c r="Q11" i="17"/>
  <c r="S52" i="19"/>
  <c r="Q3" i="15" s="1"/>
  <c r="R3" i="15" s="1"/>
  <c r="R6" i="15" s="1"/>
  <c r="P70" i="21" s="1"/>
  <c r="N11" i="13" l="1"/>
  <c r="N12" i="13"/>
  <c r="N13" i="13"/>
  <c r="P9" i="15"/>
  <c r="P6" i="15"/>
  <c r="Q9" i="15"/>
  <c r="Q6" i="15"/>
  <c r="O10" i="15"/>
  <c r="O11" i="15" s="1"/>
  <c r="O15" i="15"/>
  <c r="P9" i="13"/>
  <c r="P10" i="13" s="1"/>
  <c r="P6" i="13"/>
  <c r="O9" i="13"/>
  <c r="O13" i="13" s="1"/>
  <c r="O6" i="13"/>
  <c r="Q3" i="13"/>
  <c r="Q6" i="13" s="1"/>
  <c r="P68" i="21" s="1"/>
  <c r="Q15" i="15" l="1"/>
  <c r="Q10" i="15"/>
  <c r="O16" i="15"/>
  <c r="O16" i="17" s="1"/>
  <c r="P12" i="13"/>
  <c r="O12" i="13"/>
  <c r="Q9" i="13"/>
  <c r="O10" i="13"/>
  <c r="O11" i="13" s="1"/>
  <c r="P11" i="13" s="1"/>
  <c r="P13" i="13"/>
  <c r="P10" i="15"/>
  <c r="P11" i="15" s="1"/>
  <c r="P15" i="15"/>
  <c r="P16" i="15" s="1"/>
  <c r="P16" i="17" s="1"/>
  <c r="Q11" i="15" l="1"/>
  <c r="Q16" i="15"/>
  <c r="Q16" i="17" s="1"/>
  <c r="P66" i="21" l="1"/>
</calcChain>
</file>

<file path=xl/comments1.xml><?xml version="1.0" encoding="utf-8"?>
<comments xmlns="http://schemas.openxmlformats.org/spreadsheetml/2006/main">
  <authors>
    <author>Andre Darmochwal</author>
  </authors>
  <commentList>
    <comment ref="C10" authorId="0">
      <text>
        <r>
          <rPr>
            <b/>
            <sz val="9"/>
            <color indexed="81"/>
            <rFont val="Tahoma"/>
            <family val="2"/>
          </rPr>
          <t>Annahme, liegt im ÖPNV idR zwischen 5 und 9%</t>
        </r>
      </text>
    </comment>
    <comment ref="C11" authorId="0">
      <text>
        <r>
          <rPr>
            <b/>
            <sz val="9"/>
            <color indexed="81"/>
            <rFont val="Tahoma"/>
            <family val="2"/>
          </rPr>
          <t>Annahme: 5% bis 8% je nach Risikoeinschätzung und -allokation</t>
        </r>
      </text>
    </comment>
  </commentList>
</comments>
</file>

<file path=xl/comments2.xml><?xml version="1.0" encoding="utf-8"?>
<comments xmlns="http://schemas.openxmlformats.org/spreadsheetml/2006/main">
  <authors>
    <author>Gustav Thiesing</author>
  </authors>
  <commentList>
    <comment ref="E8" authorId="0">
      <text>
        <r>
          <rPr>
            <b/>
            <sz val="8"/>
            <color indexed="81"/>
            <rFont val="Tahoma"/>
            <family val="2"/>
          </rPr>
          <t>Gustav Thiesing:</t>
        </r>
        <r>
          <rPr>
            <sz val="8"/>
            <color indexed="81"/>
            <rFont val="Tahoma"/>
            <family val="2"/>
          </rPr>
          <t xml:space="preserve">
Wofür werden die Nicht-ABO-Karten genutzt?</t>
        </r>
      </text>
    </comment>
    <comment ref="G8" authorId="0">
      <text>
        <r>
          <rPr>
            <b/>
            <sz val="8"/>
            <color indexed="81"/>
            <rFont val="Tahoma"/>
            <family val="2"/>
          </rPr>
          <t>Gustav Thiesing:</t>
        </r>
        <r>
          <rPr>
            <sz val="8"/>
            <color indexed="81"/>
            <rFont val="Tahoma"/>
            <family val="2"/>
          </rPr>
          <t xml:space="preserve">
s. Bogestra</t>
        </r>
      </text>
    </comment>
  </commentList>
</comments>
</file>

<file path=xl/comments3.xml><?xml version="1.0" encoding="utf-8"?>
<comments xmlns="http://schemas.openxmlformats.org/spreadsheetml/2006/main">
  <authors>
    <author>Gustav Thiesing</author>
    <author>David Reuer</author>
  </authors>
  <commentList>
    <comment ref="E14" authorId="0">
      <text>
        <r>
          <rPr>
            <sz val="8"/>
            <color indexed="81"/>
            <rFont val="Tahoma"/>
            <family val="2"/>
          </rPr>
          <t xml:space="preserve">
7 T€/Monat lt. VRR</t>
        </r>
      </text>
    </comment>
    <comment ref="D17" authorId="1">
      <text>
        <r>
          <rPr>
            <sz val="9"/>
            <color indexed="81"/>
            <rFont val="Tahoma"/>
            <family val="2"/>
          </rPr>
          <t xml:space="preserve">
Arbeitgeberbrutto
</t>
        </r>
      </text>
    </comment>
  </commentList>
</comments>
</file>

<file path=xl/sharedStrings.xml><?xml version="1.0" encoding="utf-8"?>
<sst xmlns="http://schemas.openxmlformats.org/spreadsheetml/2006/main" count="1072" uniqueCount="778">
  <si>
    <r>
      <t xml:space="preserve">Hintergrundsystem
</t>
    </r>
    <r>
      <rPr>
        <sz val="9"/>
        <color theme="1"/>
        <rFont val="Arial"/>
        <family val="2"/>
      </rPr>
      <t xml:space="preserve"> (Standardsoftware, Installation imRechenzentrum)</t>
    </r>
  </si>
  <si>
    <r>
      <t xml:space="preserve">Validatoren auf Stationen
</t>
    </r>
    <r>
      <rPr>
        <sz val="9"/>
        <color theme="1"/>
        <rFont val="Arial"/>
        <family val="2"/>
      </rPr>
      <t xml:space="preserve"> (HW und SW, Installation inkl. Säule)</t>
    </r>
  </si>
  <si>
    <r>
      <t xml:space="preserve">Kontrollgeräte
</t>
    </r>
    <r>
      <rPr>
        <sz val="9"/>
        <color theme="1"/>
        <rFont val="Arial"/>
        <family val="2"/>
      </rPr>
      <t xml:space="preserve"> (HW und SW, Installation)</t>
    </r>
  </si>
  <si>
    <r>
      <t xml:space="preserve">Verkaufsautomat Münze/Schein/Karte
</t>
    </r>
    <r>
      <rPr>
        <sz val="9"/>
        <color theme="1"/>
        <rFont val="Arial"/>
        <family val="2"/>
      </rPr>
      <t>(HW und SW, Installation)</t>
    </r>
  </si>
  <si>
    <r>
      <t xml:space="preserve">Personalbediente Verkaufsstelle - Kundencenter
</t>
    </r>
    <r>
      <rPr>
        <sz val="9"/>
        <color theme="1"/>
        <rFont val="Arial"/>
        <family val="2"/>
      </rPr>
      <t>(HW und SW, Installation)</t>
    </r>
  </si>
  <si>
    <r>
      <t xml:space="preserve">Projektarbeiten und -aufwände
</t>
    </r>
    <r>
      <rPr>
        <sz val="9"/>
        <color theme="1"/>
        <rFont val="Arial"/>
        <family val="2"/>
      </rPr>
      <t>(Projektmanagement, Dokumentation, Probebetrieb, Material, Reisekosten)</t>
    </r>
  </si>
  <si>
    <t>Menge</t>
  </si>
  <si>
    <t>Gesamt (€)</t>
  </si>
  <si>
    <t>Anmerkungen</t>
  </si>
  <si>
    <t>inkl. Betriebssystem und vorinstallierter EFM3-SW</t>
  </si>
  <si>
    <t>Basispreis + Montage 
+ Installation und Inbetriebnahme</t>
  </si>
  <si>
    <t>Basispreis (€)</t>
  </si>
  <si>
    <t>Stückpreis</t>
  </si>
  <si>
    <t>SW des HGS wird als einheitliche Lsg. Entwickelt. Dies beinhaltet standardisierte Schnittstellen zur Integration der VU. Der Anpassungsaufwand an die vorhandenen Systeme liegt bei den VU.</t>
  </si>
  <si>
    <r>
      <t xml:space="preserve">Systementwicklung
</t>
    </r>
    <r>
      <rPr>
        <sz val="9"/>
        <color theme="1"/>
        <rFont val="Arial"/>
        <family val="2"/>
      </rPr>
      <t>(Systemspezifikation, Programmierung, Testspezifikation, 
Abnahmetests)</t>
    </r>
  </si>
  <si>
    <t>in %
vom Gesamtinvest</t>
  </si>
  <si>
    <t>Preisspanne zwischen 24.000 € und 40.000 je nach Ausstattung des Automaten bzgl. der 
akzeptierten Zahlungsmittel (hier: Münze/Schein/Karte).</t>
  </si>
  <si>
    <t>Gebrauchsfertig 
inst. Gerät (€)</t>
  </si>
  <si>
    <r>
      <rPr>
        <b/>
        <u/>
        <sz val="11"/>
        <rFont val="Arial"/>
        <family val="2"/>
      </rPr>
      <t>Anmerkungen:</t>
    </r>
    <r>
      <rPr>
        <sz val="11"/>
        <rFont val="Arial"/>
        <family val="2"/>
      </rPr>
      <t xml:space="preserve">
</t>
    </r>
    <r>
      <rPr>
        <sz val="11"/>
        <rFont val="Wingdings"/>
        <charset val="2"/>
      </rPr>
      <t>ð</t>
    </r>
    <r>
      <rPr>
        <sz val="11"/>
        <rFont val="Arial"/>
        <family val="2"/>
      </rPr>
      <t xml:space="preserve">    Bei den Systemkomponenten wird von Neubeschaffungen ausgegangen,
       d. h. kein Kosteneinsparungspotential durch "retro-fit" der Systemkomponenten.
</t>
    </r>
    <r>
      <rPr>
        <sz val="11"/>
        <rFont val="Wingdings"/>
        <charset val="2"/>
      </rPr>
      <t xml:space="preserve">ð </t>
    </r>
    <r>
      <rPr>
        <sz val="11"/>
        <rFont val="Arial"/>
        <family val="2"/>
      </rPr>
      <t xml:space="preserve">Es wurde kein Reinvest berücksichtigt.
</t>
    </r>
  </si>
  <si>
    <t>Kosten Systemaufbau</t>
  </si>
  <si>
    <t>Kosten Systembetrieb</t>
  </si>
  <si>
    <t>Stückpreis (€)
pro Jahr</t>
  </si>
  <si>
    <t>Preis (€)
pro Jahr</t>
  </si>
  <si>
    <r>
      <t xml:space="preserve">Kosten Systembetrieb, bei konsequent umgesetztem Instandhaltungsmanagement.
</t>
    </r>
    <r>
      <rPr>
        <u/>
        <sz val="11"/>
        <rFont val="Arial"/>
        <family val="2"/>
      </rPr>
      <t>Dies beinhaltet:</t>
    </r>
    <r>
      <rPr>
        <b/>
        <sz val="11"/>
        <rFont val="Arial"/>
        <family val="2"/>
      </rPr>
      <t xml:space="preserve">
</t>
    </r>
    <r>
      <rPr>
        <sz val="11"/>
        <rFont val="Wingdings"/>
        <charset val="2"/>
      </rPr>
      <t>ð</t>
    </r>
    <r>
      <rPr>
        <sz val="11"/>
        <rFont val="Arial"/>
        <family val="2"/>
      </rPr>
      <t xml:space="preserve">    Auswertung aufgetretener Störungen mit dem Ziel, Bauteile zu identifizieren, die Aufgrund von Alterung oder Abnutzung zu einem vermehrten Auftreten von Störungen führen. Für die identifizierten Bauteile wird 
       jeweils ein Plan für den präventiven Austausch entwickelt.
</t>
    </r>
    <r>
      <rPr>
        <sz val="11"/>
        <rFont val="Wingdings"/>
        <charset val="2"/>
      </rPr>
      <t>ð</t>
    </r>
    <r>
      <rPr>
        <sz val="11"/>
        <rFont val="Arial"/>
        <family val="2"/>
      </rPr>
      <t xml:space="preserve">    Gewährleistung der Ersatzteilversorgung, insbesondere die Auswertung der Herstellermitteilungen (soweit erforderlich auch aktive Abfrage der Hersteller) über auslaufende Bauteile. Für auslaufende Bauteile 
       sind jeweils Ersatzlösungen zu identifizieren und umzusetzen. Dies kann von der Beschaffung äquivalenter Bauteile bis hin zu konstruktiven Änderungen an Baugruppen reichen.</t>
    </r>
    <r>
      <rPr>
        <b/>
        <sz val="11"/>
        <rFont val="Arial"/>
        <family val="2"/>
      </rPr>
      <t xml:space="preserve">
</t>
    </r>
  </si>
  <si>
    <t>Komponente</t>
  </si>
  <si>
    <t>Leistungselement</t>
  </si>
  <si>
    <t>Summe</t>
  </si>
  <si>
    <r>
      <t xml:space="preserve">Zentrale Dienstleistungen
</t>
    </r>
    <r>
      <rPr>
        <sz val="9"/>
        <rFont val="Arial"/>
        <family val="2"/>
      </rPr>
      <t>(Verfügbarkeit des zentralen Helpdesk, Überwachung des Anwendungsbetriebs, Behebung von Betriebs-/Datenproblemen)</t>
    </r>
  </si>
  <si>
    <r>
      <t>Servicemanagement</t>
    </r>
    <r>
      <rPr>
        <sz val="9"/>
        <rFont val="Arial"/>
        <family val="2"/>
      </rPr>
      <t xml:space="preserve"> 
(Teamleitung, Administration und Berichtswesen, Qualitätssicherung)</t>
    </r>
  </si>
  <si>
    <r>
      <t xml:space="preserve">Kontrollgeräte
</t>
    </r>
    <r>
      <rPr>
        <sz val="9"/>
        <rFont val="Arial"/>
        <family val="2"/>
      </rPr>
      <t xml:space="preserve"> (Helpdesk, </t>
    </r>
    <r>
      <rPr>
        <sz val="9"/>
        <color rgb="FF000099"/>
        <rFont val="Arial"/>
        <family val="2"/>
      </rPr>
      <t>Störungsbeseitigung</t>
    </r>
    <r>
      <rPr>
        <sz val="9"/>
        <rFont val="Arial"/>
        <family val="2"/>
      </rPr>
      <t>)</t>
    </r>
  </si>
  <si>
    <r>
      <t xml:space="preserve">Personalbediente Verkaufsstelle 
- Kundencenter
</t>
    </r>
    <r>
      <rPr>
        <sz val="9"/>
        <rFont val="Arial"/>
        <family val="2"/>
      </rPr>
      <t>(Helpdesk,</t>
    </r>
    <r>
      <rPr>
        <sz val="9"/>
        <color rgb="FF000099"/>
        <rFont val="Arial"/>
        <family val="2"/>
      </rPr>
      <t xml:space="preserve"> Störungsbeseitigung</t>
    </r>
    <r>
      <rPr>
        <sz val="9"/>
        <rFont val="Arial"/>
        <family val="2"/>
      </rPr>
      <t>)</t>
    </r>
  </si>
  <si>
    <t>Kosten Mobilfunkverträge</t>
  </si>
  <si>
    <t>Mobilfunk - Validatoren in Fahrzeugen</t>
  </si>
  <si>
    <t>Mobilfunk - Kontrollgeräte</t>
  </si>
  <si>
    <t>Kosten für Chipkarten</t>
  </si>
  <si>
    <t>KA-Chipkarte</t>
  </si>
  <si>
    <t>Stückpreis (€)
pro Chipkarte</t>
  </si>
  <si>
    <t>Distribution</t>
  </si>
  <si>
    <t>Anmerkung</t>
  </si>
  <si>
    <t>Sicherheitsmanagement</t>
  </si>
  <si>
    <t xml:space="preserve">Entnommen aus der Basispräsentation
Teil Till Ponath </t>
  </si>
  <si>
    <r>
      <t xml:space="preserve">Anmerkung:
</t>
    </r>
    <r>
      <rPr>
        <sz val="11"/>
        <rFont val="Arial"/>
        <family val="2"/>
      </rPr>
      <t>Die vorgenommene Mengenabschätzung ist zu überprüfen (s. u.).
Die Kosten für das Management der Chipkartenbeschaffung und die Verteilung an die Ausgabestellen sind auf Basis der Mengenabschätzung noch genauer abzuschätzen. Die operative Durchführung der Chipkartenlogistik könnte als zusätzliches Element in die zentralen Dienstleistungen aufgenommen werden.</t>
    </r>
    <r>
      <rPr>
        <b/>
        <sz val="11"/>
        <rFont val="Arial"/>
        <family val="2"/>
      </rPr>
      <t xml:space="preserve">
</t>
    </r>
    <r>
      <rPr>
        <sz val="11"/>
        <rFont val="Arial"/>
        <family val="2"/>
      </rPr>
      <t/>
    </r>
  </si>
  <si>
    <r>
      <rPr>
        <b/>
        <sz val="11"/>
        <color rgb="FF006600"/>
        <rFont val="Arial"/>
        <family val="2"/>
      </rPr>
      <t>Verkaufsautomat</t>
    </r>
    <r>
      <rPr>
        <sz val="11"/>
        <rFont val="Arial"/>
        <family val="2"/>
      </rPr>
      <t xml:space="preserve"> 
- Münze/Schein/Karte
</t>
    </r>
    <r>
      <rPr>
        <sz val="9"/>
        <rFont val="Arial"/>
        <family val="2"/>
      </rPr>
      <t xml:space="preserve">(Helpdesk, </t>
    </r>
    <r>
      <rPr>
        <sz val="9"/>
        <color rgb="FF000099"/>
        <rFont val="Arial"/>
        <family val="2"/>
      </rPr>
      <t>Störungsbeseitigung</t>
    </r>
    <r>
      <rPr>
        <sz val="9"/>
        <rFont val="Arial"/>
        <family val="2"/>
      </rPr>
      <t>)</t>
    </r>
  </si>
  <si>
    <t>Lebensdauer der Systemkomponenten</t>
  </si>
  <si>
    <r>
      <t xml:space="preserve">Bei konsequent umgesetztem Instandhaltungsmanagement.
</t>
    </r>
    <r>
      <rPr>
        <u/>
        <sz val="11"/>
        <rFont val="Arial"/>
        <family val="2"/>
      </rPr>
      <t>Dies beinhaltet:</t>
    </r>
    <r>
      <rPr>
        <b/>
        <sz val="11"/>
        <rFont val="Arial"/>
        <family val="2"/>
      </rPr>
      <t xml:space="preserve">
</t>
    </r>
    <r>
      <rPr>
        <sz val="11"/>
        <rFont val="Wingdings"/>
        <charset val="2"/>
      </rPr>
      <t>ð</t>
    </r>
    <r>
      <rPr>
        <sz val="11"/>
        <rFont val="Arial"/>
        <family val="2"/>
      </rPr>
      <t xml:space="preserve">    Auswertung aufgetretener Störungen mit dem Ziel, Bauteile zu identifizieren, die Aufgrund von Alterung oder Abnutzung zu einem vermehrten Auftreten von Störungen führen. Für die identifizierten Bauteile wird 
       jeweils ein Plan für den präventiven Austausch entwickelt.
</t>
    </r>
    <r>
      <rPr>
        <sz val="11"/>
        <rFont val="Wingdings"/>
        <charset val="2"/>
      </rPr>
      <t>ð</t>
    </r>
    <r>
      <rPr>
        <sz val="11"/>
        <rFont val="Arial"/>
        <family val="2"/>
      </rPr>
      <t xml:space="preserve">    Gewährleistung der Ersatzteilversorgung, insbesondere die Auswertung der Herstellermitteilungen (soweit erforderlich auch aktive Abfrage der Hersteller) über auslaufende Bauteile. Für auslaufende Bauteile 
       sind jeweils Ersatzlösungen zu identifizieren und umzusetzen. Dies kann von der Beschaffung äquivalenter Bauteile bis hin zu konstruktiven Änderungen an Baugruppen reichen.</t>
    </r>
    <r>
      <rPr>
        <b/>
        <sz val="11"/>
        <rFont val="Arial"/>
        <family val="2"/>
      </rPr>
      <t xml:space="preserve">
</t>
    </r>
  </si>
  <si>
    <t>Kontrollgeräte</t>
  </si>
  <si>
    <t>Verkaufsautomaten</t>
  </si>
  <si>
    <t>Hintergrundsystem</t>
  </si>
  <si>
    <t>Lebensdauer
in Jahren</t>
  </si>
  <si>
    <t>Anlass für eine Erneuerung ist häufig die mechanische Abnutzung. Da die Kontrollgeräte in der Regel auf universell einsetzbaren Geräten von Drittherstellern basieren, ist die Erneuerung oft die einzige Alternative.</t>
  </si>
  <si>
    <t>Verkaufsautomaten enthalten verschiedene, kostenintensive Baugruppen, so dass die Erneuerung in der Form stattfindet, dass Baugruppen ausgetauscht werden. Bis zur Erreichung der angegebenen Zeit und somit bis zum Ersatz des gesamten Verkaufsautomaten ist davon auszugehen, dass jährlich ab dem sechsten Jahr durchschnittlich etwa 10% des Neuwerts des Verkaufsautomaten für die Erneuerung von Baugruppen aufgewendet wird.</t>
  </si>
  <si>
    <t>Hintergrundsystem (HGS)</t>
  </si>
  <si>
    <t>Die Infrastruktur des HGS (Rechner, Netzwerkkomponenten, Rechenzentrum) wird kontinuierlich erneuert. Die Kosten sind in den Betriebskosten (BK) enthalten.
Für Betriebssysteme, Datenbanksoftware, andere Standardsoftware gilt: Obsolete Versionen werden durch Folgeversionen ersetzt, sofern diese rückwärtskompatibel sind. Dies geht i. d. R. mit einigen kleineren Anpassungen in der Anwendungssoftware einher, um alte Versionen zu ersetzen oder neue, leistungsfähigere Funktionen der Standardsoftware zu nutzen.
All dies ist ebenfalls in den BK des HGS enthalten.
Auf dieser Grundlage lässt sich das HGS 15 bis 20 Jahre betreiben.
Ausschlaggebend für eine umfassende Erneuerunug ist i. d. R. eine nach z. B. 10 Jahren umfassend geänderte Anforderungslage (neue Technologien, neue fachliche Anforderungen).
Vor diesem Hintergrund wäre es plausibel, für das 10. Jahr ca. 30% der Anschaffungssumme für eine umfassende technische Erneuerung des HGS einzuplanen.</t>
  </si>
  <si>
    <t>Betrachtungszeitraum: 15 Jahre</t>
  </si>
  <si>
    <t>Validatoren auf Stationen</t>
  </si>
  <si>
    <t>Zentrale Dienstleistungen</t>
  </si>
  <si>
    <t>Servicemanagement</t>
  </si>
  <si>
    <t>Budget Modernisierung</t>
  </si>
  <si>
    <r>
      <t xml:space="preserve">Systementwicklung
</t>
    </r>
    <r>
      <rPr>
        <sz val="9"/>
        <color theme="1"/>
        <rFont val="Arial"/>
        <family val="2"/>
      </rPr>
      <t>(Systemspez.,Programmierung,Testspez.,Abnahmetests)</t>
    </r>
  </si>
  <si>
    <r>
      <t xml:space="preserve">Projektarbeiten und -aufwände
</t>
    </r>
    <r>
      <rPr>
        <sz val="9"/>
        <color theme="1"/>
        <rFont val="Arial"/>
        <family val="2"/>
      </rPr>
      <t>(Projektm., Doku, Probebetrieb, Material, Reisek.)</t>
    </r>
  </si>
  <si>
    <t>Aufwand EFM3-Systems</t>
  </si>
  <si>
    <t>Chipkarten</t>
  </si>
  <si>
    <t>AUFWAND GESAMT</t>
  </si>
  <si>
    <t>IT Gerät</t>
  </si>
  <si>
    <t>Menge
erstes Jahr</t>
  </si>
  <si>
    <t>Kosten (€)
erstes Jahr</t>
  </si>
  <si>
    <t>Teil Till Ponath</t>
  </si>
  <si>
    <t>Menge
Folgejahre</t>
  </si>
  <si>
    <t>Kosten (€)
Folgejahre</t>
  </si>
  <si>
    <t>KA-Zertifikat und fortlaufende Pflege- und Betriebskosten (Lebensdauer 5 Jahre)</t>
  </si>
  <si>
    <t>Stückpreis = bei 4-10 Layouts und personalisiert (Applikation ausgegeben)</t>
  </si>
  <si>
    <t>entspricht der Anzahl an Kunden von morgen (inkl. der Abokunden = 1,2 Mio)</t>
  </si>
  <si>
    <t>entspricht einem 50%igem Aufschlag auf alle Nichtabokunden (2,1 Mio)</t>
  </si>
  <si>
    <t>Anzahl der benötigten Chipkarten</t>
  </si>
  <si>
    <t>Anzahl Erstausstattung</t>
  </si>
  <si>
    <t>Feste personalbediente eigene Verkaufsstellen</t>
  </si>
  <si>
    <t>Daten Feste personalbediente eigene Verkaufsstellen</t>
  </si>
  <si>
    <t>Entnommen aus einem Gutachten des kcw über Vertriebskostenmodellierung für den Verkehrsverbund Rhein-Ruhr</t>
  </si>
  <si>
    <t>Verkaufsstelle Kat A
sehr große Verkaufsstelle</t>
  </si>
  <si>
    <t>Verkaufsstelle Kat B
große Verkaufsstelle</t>
  </si>
  <si>
    <t>Verkaufsstelle Kat C
kleine Verkaufsstelle</t>
  </si>
  <si>
    <t>Kleine Verkaufsstellen auf Provisionsbasis</t>
  </si>
  <si>
    <t>Öffnungszeiten (Std / Wo)</t>
  </si>
  <si>
    <t>Öffnungstage</t>
  </si>
  <si>
    <t>Stunden die eine VZ pro Tag im Verkauf verbringen kann</t>
  </si>
  <si>
    <t>Verkaufscounter</t>
  </si>
  <si>
    <t>Besetzungsgrad</t>
  </si>
  <si>
    <t>Anzahl der Verkaufsstellen</t>
  </si>
  <si>
    <t>Jahresumsatz</t>
  </si>
  <si>
    <t>Personalbedarf Verkaufspersonal</t>
  </si>
  <si>
    <t>Personalkosten Verkaufspersonal</t>
  </si>
  <si>
    <t>Personalkosten</t>
  </si>
  <si>
    <t>Jahresgehalt Verkaufspersonal</t>
  </si>
  <si>
    <t>Personalbedarf Dienststellenleiter</t>
  </si>
  <si>
    <t>Jahresgehalt Dienststellenleiter</t>
  </si>
  <si>
    <t>Personalkosten Dienststellenleiter</t>
  </si>
  <si>
    <r>
      <t>Miete Räumlichkeit pro m</t>
    </r>
    <r>
      <rPr>
        <vertAlign val="superscript"/>
        <sz val="12"/>
        <color theme="1"/>
        <rFont val="Arial"/>
        <family val="2"/>
      </rPr>
      <t>2
Durchschnittspreis</t>
    </r>
  </si>
  <si>
    <t>Sachkosten</t>
  </si>
  <si>
    <r>
      <t>Flächenbedarf in m</t>
    </r>
    <r>
      <rPr>
        <vertAlign val="superscript"/>
        <sz val="12"/>
        <color theme="1"/>
        <rFont val="Arial"/>
        <family val="2"/>
      </rPr>
      <t>2</t>
    </r>
  </si>
  <si>
    <t>Mietkosten Räumlichkeit</t>
  </si>
  <si>
    <t>Kosten Telefon-/Netzanschluss / Monat</t>
  </si>
  <si>
    <t>Kosten Telefon-/Netzanschluss</t>
  </si>
  <si>
    <t>Abrechnungssoftware / Monat</t>
  </si>
  <si>
    <t>Abrechnungssoftware</t>
  </si>
  <si>
    <t>Miete Kartenterminals / Monat</t>
  </si>
  <si>
    <t>Zahl Kartenterminals</t>
  </si>
  <si>
    <t>Mietkosten Kartenterminals</t>
  </si>
  <si>
    <t>Lizenzkosten CRS-Lizenz pro Standort / Monat</t>
  </si>
  <si>
    <t>Lizenzkosten CRS-Lizenz pro Standort</t>
  </si>
  <si>
    <t>Versicherung pro Standort / Monat</t>
  </si>
  <si>
    <t>Versicherung pro Standort</t>
  </si>
  <si>
    <t>Verkaufsförderung / Monat</t>
  </si>
  <si>
    <t>Verkaufsförderung</t>
  </si>
  <si>
    <t>Kosten unbare Bezahlvorgänge (maestro, Geldkarte, KK)</t>
  </si>
  <si>
    <t>Umsatzprovisionen</t>
  </si>
  <si>
    <t>Ansprechpartner für Abrechnung, Service, Logistik</t>
  </si>
  <si>
    <t>Servicepersonalkosten für Abrechnung, Service, Logistik</t>
  </si>
  <si>
    <t>Jahresgehalt Servicepersonal</t>
  </si>
  <si>
    <t>Kosten pro Jahr pro Verkaufsstelle</t>
  </si>
  <si>
    <t>Anzahl</t>
  </si>
  <si>
    <t>Anschaffungskosten</t>
  </si>
  <si>
    <t>Anschaffungskosten GESAMT</t>
  </si>
  <si>
    <t>Nutzungsdauer</t>
  </si>
  <si>
    <t>Investitionskosten</t>
  </si>
  <si>
    <t>Verkaufsplätze</t>
  </si>
  <si>
    <t>Technik pro Verkaufsplatz</t>
  </si>
  <si>
    <t>Einrichtung pro Verkaufsplatz</t>
  </si>
  <si>
    <t>Verkaufsstelle</t>
  </si>
  <si>
    <t>Einrichtung Verwaltung / 
Sozialräume pro Verkaufsstelle</t>
  </si>
  <si>
    <t>So. Einrichtung Verkaufsstelle</t>
  </si>
  <si>
    <t>1. Aufwand Systemaufbau</t>
  </si>
  <si>
    <t>2. Aufwand Systembetrieb</t>
  </si>
  <si>
    <t>3. Aufwand Mobilfunkverträge</t>
  </si>
  <si>
    <t>VU</t>
  </si>
  <si>
    <t>Bezeichnung</t>
  </si>
  <si>
    <t>Adresse Verkaufsstelle</t>
  </si>
  <si>
    <t>Größe in m²</t>
  </si>
  <si>
    <t>Anzahl Arbeitsplätze</t>
  </si>
  <si>
    <t>Sonstiges</t>
  </si>
  <si>
    <t>Kategorie</t>
  </si>
  <si>
    <t>Abellio</t>
  </si>
  <si>
    <t>Abellio Rail NRW - Kundencenter Hagen</t>
  </si>
  <si>
    <t>Graf-von-Galen-Ring 21, 58095 Hagen</t>
  </si>
  <si>
    <t>X</t>
  </si>
  <si>
    <t>keine Verkaufsstellen</t>
  </si>
  <si>
    <t>Abellio Rail NRW - Kundencenter Essen</t>
  </si>
  <si>
    <t>Essener Verkehrs-AG, Essen Hbf, Freiheit 2</t>
  </si>
  <si>
    <t>Abellio Rail NRW - Kundencenter Finnentrop</t>
  </si>
  <si>
    <t>FIRST Reisebüro Finnentrop, Bamenohler Straße 255, 57413 Finnentrop</t>
  </si>
  <si>
    <t>BSM</t>
  </si>
  <si>
    <t>Kundenservice Bahnen der Stadt Monheim GmbH</t>
  </si>
  <si>
    <t>Rathausplatz 20 - direkt am Busbahnhof und Monheimer Tor, 40789 Monheim,</t>
  </si>
  <si>
    <t xml:space="preserve">Mit Marke Mohnheim, Konzertticket, etc. </t>
  </si>
  <si>
    <t>Bogestra</t>
  </si>
  <si>
    <t>MobilitätsCenter im Bochumer Hauptbahnhof</t>
  </si>
  <si>
    <t>Verteilerebene Bochum Hbf, 44787 Bochum</t>
  </si>
  <si>
    <t>KundenCenter Witten</t>
  </si>
  <si>
    <t>Bahnhofstraße 1-3, 58452 Witten</t>
  </si>
  <si>
    <t>KundenCenter Gelsenkirchen</t>
  </si>
  <si>
    <t>Bahnhofsvorplatz 5 (ZOB), 45879 Gelsenkirche</t>
  </si>
  <si>
    <t>KundenCenter Gelsenkirchen Buer</t>
  </si>
  <si>
    <t>Goldbergstraße 1, 45894 Gelsenkirchen</t>
  </si>
  <si>
    <t>KundenCenter Hattingen</t>
  </si>
  <si>
    <t>Im Reschop Carré (Ausgang ZOB), 45525 Hattingen</t>
  </si>
  <si>
    <t>Abostelle Bochum Hauptverwaltung</t>
  </si>
  <si>
    <t>Universitätsstrasse 58, 44789 Bochum</t>
  </si>
  <si>
    <t>DSW21</t>
  </si>
  <si>
    <t>DSW21-KundenCenter Reinoldikirche</t>
  </si>
  <si>
    <t>in der Stadtbahnanlage Reinoldikirche</t>
  </si>
  <si>
    <t>Die KundenCenter Kampstraße und Reinoldikirche werden zu einem Standort als KundenCenter Petrikirche zusammengelegt. Das neue KundenCenter wird ca. 200 m² Verkaufsfläche haben. Es befinden sich dann dort 4 Schalterplätze für den Barverkauf und 6 Beratungsplätze für Abo etc.</t>
  </si>
  <si>
    <t>DSW21-KundenCenter Kampstraße</t>
  </si>
  <si>
    <t>in der Stadtbahnanlage Kampstraße</t>
  </si>
  <si>
    <t>DSW21-KundenCenter Hörde</t>
  </si>
  <si>
    <t>in der Stadtbahnanlage Hörde</t>
  </si>
  <si>
    <t>ca. 30 m²</t>
  </si>
  <si>
    <t>DSW21-KundenCenter Castrop-Rauxel</t>
  </si>
  <si>
    <t>Betriebshof Castrop-Rauxel, Bahnhofstraße 14,</t>
  </si>
  <si>
    <t>ca. 15 m²</t>
  </si>
  <si>
    <t>DVG</t>
  </si>
  <si>
    <t>KundenCenter Hauptbahnhof</t>
  </si>
  <si>
    <t>Harry-Epstein-Platz</t>
  </si>
  <si>
    <t>KundenCenter Marxloh</t>
  </si>
  <si>
    <t>Im Brahm-Center</t>
  </si>
  <si>
    <t>EVAG</t>
  </si>
  <si>
    <t>KundenCenter Essen Hauptbahnhof</t>
  </si>
  <si>
    <t>Info Lounge (Südeingang), 45127 Essen</t>
  </si>
  <si>
    <t>MetropolRadRuhr; Stadrtmobil; Ruhrauto; Abellio KC; RuhrTopCard uvm.</t>
  </si>
  <si>
    <t>KundenCenter Berliner Platz</t>
  </si>
  <si>
    <t>EVAG-Fundbüro Verteilerebene (U-Bahn), Berliner Platz, 45127 Essen</t>
  </si>
  <si>
    <t>EVAG-Center Mesenhohl</t>
  </si>
  <si>
    <t>Kaiser-Wilhelm-Str. 3, 45276 Essen</t>
  </si>
  <si>
    <t>Reisebüro</t>
  </si>
  <si>
    <t>Hagener Straßenbahn</t>
  </si>
  <si>
    <t>KundenCenter City</t>
  </si>
  <si>
    <t>Körnerstr. 25, 58095 Hagen</t>
  </si>
  <si>
    <t>-</t>
  </si>
  <si>
    <t>KundenCenter Bahnhof</t>
  </si>
  <si>
    <t>Graf-von-Galen-Ring 24 / Berliner Platz, 58095 Hagen</t>
  </si>
  <si>
    <t>3 weitere Arbeitsplätze für Tarifauskünfte, Bäderfragen</t>
  </si>
  <si>
    <t>MVG</t>
  </si>
  <si>
    <t>KundenCenter</t>
  </si>
  <si>
    <t>Mülheim Hauptbahnhof Passage Hbf Forum City, Am Hauptbahnhof 8</t>
  </si>
  <si>
    <t>MetropolRadRuhr; Stadrtmobil; RuhrTopCard uvm.</t>
  </si>
  <si>
    <t>Stadtmitte, Löhberg 54</t>
  </si>
  <si>
    <t>NEWMöBus</t>
  </si>
  <si>
    <t>KundenCenter Europaplatz MG</t>
  </si>
  <si>
    <t>Europaplatz, 41061 Mönchengladbach</t>
  </si>
  <si>
    <t>je nach Bedarf</t>
  </si>
  <si>
    <t>Marienplatz, 41236 Mönchengladbach</t>
  </si>
  <si>
    <t>KundenCenter / Fundbüro</t>
  </si>
  <si>
    <t>ZOB Rheydt, 41236 Mönchengladbach</t>
  </si>
  <si>
    <t>NEW</t>
  </si>
  <si>
    <t>NEW mobil und aktiv Viersen, KundenCenter </t>
  </si>
  <si>
    <t>Stadthaus, Rathausmarkt 1</t>
  </si>
  <si>
    <t>2 Verkehr, 4 Versorgung</t>
  </si>
  <si>
    <t>NIAG</t>
  </si>
  <si>
    <t>KundenCenter Moers</t>
  </si>
  <si>
    <t>Neuer Wall 10, 47441 Moers</t>
  </si>
  <si>
    <t>keine Angaben</t>
  </si>
  <si>
    <t>KundenCenter Kamp-Lintfort</t>
  </si>
  <si>
    <t>Kolkschenstraße 16, 47475 Kamp-Lintfort</t>
  </si>
  <si>
    <t>KundenCenter Kleve</t>
  </si>
  <si>
    <t>Kavarinerstraße 61, 47533 Kleve</t>
  </si>
  <si>
    <t>KundenCenter DU-Rheinhausen</t>
  </si>
  <si>
    <t>Krefelder Straße 14, 47226 Duisburg</t>
  </si>
  <si>
    <t>KundenCenter Dinslaken</t>
  </si>
  <si>
    <t>Bahnhofsplatz 4, 46535 Dinslaken</t>
  </si>
  <si>
    <t>Rheinbahn</t>
  </si>
  <si>
    <t>Heinrich-Heine-Allee 23, Düsseldorf</t>
  </si>
  <si>
    <t>Hauptbahnhof, Immermannstr. 65 a-D, Düsseldorf</t>
  </si>
  <si>
    <t>Mittelstraße 2-4 (Gabelung), Hilden</t>
  </si>
  <si>
    <t>Düsseldorfer Str. 47 (Polizeigebäude), Ratingen</t>
  </si>
  <si>
    <t>Schwarzbachstr. 12 (Neanderthal-Passage), Mettmann</t>
  </si>
  <si>
    <t>Stadtbus Dormagen</t>
  </si>
  <si>
    <t>Römerstraße 59, Dormagen</t>
  </si>
  <si>
    <t>SWN</t>
  </si>
  <si>
    <t>KundenCenter Niedertor</t>
  </si>
  <si>
    <t>Postfach 10 14 48, 41414 Neuss</t>
  </si>
  <si>
    <t>STOAG</t>
  </si>
  <si>
    <t>Willy-Brandt-Platz, 46045 Oberhausen</t>
  </si>
  <si>
    <t>3 Schalter, nur 1 MA. Monatswechsel/Schulbeginn-&gt; 2(3)</t>
  </si>
  <si>
    <t>KundenCenter Neue Mitte </t>
  </si>
  <si>
    <t>Platz der guten Hoffnung, 46047 Oberhausen</t>
  </si>
  <si>
    <t>35 (150)</t>
  </si>
  <si>
    <t>3 Schalter, nur 1 MA. Monatswechsel/Schulbeginn-&gt; 2; Backoffice</t>
  </si>
  <si>
    <t>Runge/Hering</t>
  </si>
  <si>
    <t>KundenCenter Sterkrade Bahnhof</t>
  </si>
  <si>
    <t>Busterminal, 46145 Oberhausen </t>
  </si>
  <si>
    <t>3 Schalter, nur 1 MA. Monatswechsel/Schulbeginn-&gt; 2</t>
  </si>
  <si>
    <t>SWS</t>
  </si>
  <si>
    <t>Kölner Straße 131, 42651 Solingen</t>
  </si>
  <si>
    <t>KundenCenter Hbf</t>
  </si>
  <si>
    <t>Wilhelmstraße 1 / Düsseldorfer Straße 8, 42697 Solingen</t>
  </si>
  <si>
    <t>SWK</t>
  </si>
  <si>
    <t>SWK ServiceCenter HansaHaus</t>
  </si>
  <si>
    <t>Fläche mit Abstellfläche im Geschäftsraum. Personal nicht nur für ÖPNV, sondern auch Energie &amp; AQUA</t>
  </si>
  <si>
    <t>SWK ServiceCenter Hochstr. 126</t>
  </si>
  <si>
    <t>Personal nicht nur für ÖPNV, sondern auch Energie &amp; AQUA. Anzahl je nach Kundenandrang</t>
  </si>
  <si>
    <t>Stadtwerke Goch</t>
  </si>
  <si>
    <t>Stadtwerke Goch GmbH</t>
  </si>
  <si>
    <t>Klever Str. 26 - 28, 47574 Goch</t>
  </si>
  <si>
    <t>Büro mit halber Stelle, wo Kunden reinkommen</t>
  </si>
  <si>
    <t>VER</t>
  </si>
  <si>
    <t>KundenCenter in der Verwaltung</t>
  </si>
  <si>
    <t>Wuppermannshof 7, 58256 Ennepetal</t>
  </si>
  <si>
    <t>Plätze mit eTicket Bereich die mehr im Bürotrakt liegen</t>
  </si>
  <si>
    <t>Vestische</t>
  </si>
  <si>
    <t>KundenCenter Bottrop</t>
  </si>
  <si>
    <t>Berliner Platz 12, 46236 Bottrop</t>
  </si>
  <si>
    <t>siehe unten</t>
  </si>
  <si>
    <t>KundenCenter GE-Buer</t>
  </si>
  <si>
    <t>Goldbergstr. 1, 45894 Gelsenkirchen</t>
  </si>
  <si>
    <t>ca.40</t>
  </si>
  <si>
    <t>jeweils 2 Arbeitspl.Vestische / Bogestra</t>
  </si>
  <si>
    <t>KundenCenter Gladbeck</t>
  </si>
  <si>
    <t>ZOB-Oberhof, 45964 Gladbeck</t>
  </si>
  <si>
    <t>ca.50</t>
  </si>
  <si>
    <t>siehe oben</t>
  </si>
  <si>
    <t>KundenCenter Herten</t>
  </si>
  <si>
    <t>Kaiserstr. 73, 45699 Herten</t>
  </si>
  <si>
    <t>KundenCenter Marl</t>
  </si>
  <si>
    <t>ZOB Marler Stern, 45770 Marl</t>
  </si>
  <si>
    <t>KundenCenter Recklinghausen</t>
  </si>
  <si>
    <t>Europaplatz, 45657 Recklinghausen</t>
  </si>
  <si>
    <t>WSWmobil</t>
  </si>
  <si>
    <t>MobiCenter Barmen</t>
  </si>
  <si>
    <t>Alter Markt 10, 42275 Wuppertal</t>
  </si>
  <si>
    <t>MobiCenter Elberfeld</t>
  </si>
  <si>
    <t>Wall 31, 42103 Wuppertal</t>
  </si>
  <si>
    <t>KundenCenter Wuppertal Hbf</t>
  </si>
  <si>
    <t>Tunnel DB</t>
  </si>
  <si>
    <t>Stadtwerke Kevelaer</t>
  </si>
  <si>
    <t>Stadtverwaltung</t>
  </si>
  <si>
    <t>Büro, keine echte Verkaufsstelle.</t>
  </si>
  <si>
    <t>Büro Fr. Kerkhoff</t>
  </si>
  <si>
    <t>Kroatenstraße 125, 47623 Kevelaer</t>
  </si>
  <si>
    <t>Städt. Dienste Geldern</t>
  </si>
  <si>
    <t>KundenCenter/Verkaufsstelle</t>
  </si>
  <si>
    <t>Issumer Tor 36</t>
  </si>
  <si>
    <t>Bürgerbüro: Barverkauf 1 Person, Abotickets: 0,5 Stelle</t>
  </si>
  <si>
    <t>Versorgungs- und Verkehrsbetrieb Straelen</t>
  </si>
  <si>
    <t>Rathausstr. 1</t>
  </si>
  <si>
    <t>Gemeindewerk Wachtendonk</t>
  </si>
  <si>
    <t>Weinstraße 1, 47669 Wachtendonk</t>
  </si>
  <si>
    <t>Anzahl Verkaufsstellen:</t>
  </si>
  <si>
    <t>C</t>
  </si>
  <si>
    <t>B</t>
  </si>
  <si>
    <t>A</t>
  </si>
  <si>
    <t>Zu klein</t>
  </si>
  <si>
    <t>Insgesamt Verkaufsplätze:</t>
  </si>
  <si>
    <r>
      <t xml:space="preserve">Bezahlautomat 
</t>
    </r>
    <r>
      <rPr>
        <sz val="9"/>
        <color theme="1"/>
        <rFont val="Arial"/>
        <family val="2"/>
      </rPr>
      <t>(HW und SW, Installation)</t>
    </r>
  </si>
  <si>
    <r>
      <t xml:space="preserve">Mobile Automaten
</t>
    </r>
    <r>
      <rPr>
        <sz val="9"/>
        <color theme="1"/>
        <rFont val="Arial"/>
        <family val="2"/>
      </rPr>
      <t>(HW und SW, Installation)</t>
    </r>
  </si>
  <si>
    <r>
      <rPr>
        <sz val="11"/>
        <color theme="1"/>
        <rFont val="Arial"/>
        <family val="2"/>
      </rPr>
      <t>Mobile Automaten</t>
    </r>
    <r>
      <rPr>
        <sz val="9"/>
        <color theme="1"/>
        <rFont val="Arial"/>
        <family val="2"/>
      </rPr>
      <t xml:space="preserve">
(HW und SW, Installation)</t>
    </r>
  </si>
  <si>
    <t>Bezahlautomat</t>
  </si>
  <si>
    <t>Mobile Automaten</t>
  </si>
  <si>
    <t>ja</t>
  </si>
  <si>
    <t>nein</t>
  </si>
  <si>
    <t>Verkaufsautomat Münze/Schein/Karte</t>
  </si>
  <si>
    <t>Validatoren mit Funk</t>
  </si>
  <si>
    <t>Validatoren ohne Funk</t>
  </si>
  <si>
    <t>Kontrollgeräte (Low Cost)</t>
  </si>
  <si>
    <t>Kontrollgeräte (Normal)</t>
  </si>
  <si>
    <t>Auswahl</t>
  </si>
  <si>
    <t>Mobilfunk</t>
  </si>
  <si>
    <t>Systementwicklung</t>
  </si>
  <si>
    <t>Projektarbeiten und Aufwände</t>
  </si>
  <si>
    <t>Stückpreis pro Jahr (€)</t>
  </si>
  <si>
    <t>Gebrauchsfertig (€)</t>
  </si>
  <si>
    <t>Personalbediente Verkaufsstelle
Kiosk - Barverkauf</t>
  </si>
  <si>
    <t>Personalbediente Verkaufsstelle
Kundencenter - full service</t>
  </si>
  <si>
    <t>Personalbediente Verkaufsstellen</t>
  </si>
  <si>
    <t>Fahrzeuge</t>
  </si>
  <si>
    <t>Anzahl Validatoren je Fahrzeug</t>
  </si>
  <si>
    <t>3 Türen</t>
  </si>
  <si>
    <t>2 Türen</t>
  </si>
  <si>
    <t>Anrufsammeltaxi</t>
  </si>
  <si>
    <t>4 Türen</t>
  </si>
  <si>
    <t>5 Türen</t>
  </si>
  <si>
    <t>6 Türen</t>
  </si>
  <si>
    <t>8 Türen</t>
  </si>
  <si>
    <t>10 Türen</t>
  </si>
  <si>
    <t>Variante2</t>
  </si>
  <si>
    <t>Variante3</t>
  </si>
  <si>
    <t>Anzahl Validatoren gesamt</t>
  </si>
  <si>
    <t>Validatoren in Fahrzeugen (Variante 1 oder 2 auswählen)</t>
  </si>
  <si>
    <r>
      <t xml:space="preserve">Validatoren in Fahrzeugen mit Funk
</t>
    </r>
    <r>
      <rPr>
        <sz val="9"/>
        <color theme="1"/>
        <rFont val="Arial"/>
        <family val="2"/>
      </rPr>
      <t xml:space="preserve"> (HW und SW, Installation)</t>
    </r>
  </si>
  <si>
    <r>
      <t xml:space="preserve">Validatoren in Fahrzeugen ohne Funk
</t>
    </r>
    <r>
      <rPr>
        <sz val="9"/>
        <color theme="1"/>
        <rFont val="Arial"/>
        <family val="2"/>
      </rPr>
      <t xml:space="preserve"> (HW und SW, Installation)</t>
    </r>
  </si>
  <si>
    <r>
      <t xml:space="preserve">Kontrollgeräte (Low Cost)
</t>
    </r>
    <r>
      <rPr>
        <sz val="9"/>
        <color theme="1"/>
        <rFont val="Arial"/>
        <family val="2"/>
      </rPr>
      <t xml:space="preserve"> (HW und SW, Installation)</t>
    </r>
  </si>
  <si>
    <t>Kontrollgeräte (Variante 1 oder 2 auswählen)</t>
  </si>
  <si>
    <t>1 Tür (Kleinbus)</t>
  </si>
  <si>
    <t>Haltestellen / Stationen</t>
  </si>
  <si>
    <t>Straßenbahn / U-Bahn (unterirdisch)</t>
  </si>
  <si>
    <t>S-Bahn / Regionalbahn</t>
  </si>
  <si>
    <t>Anzahl Validatoren je Bahnsteigkante</t>
  </si>
  <si>
    <t>Validatoren in Fahrzeugen ohne Funk</t>
  </si>
  <si>
    <r>
      <t xml:space="preserve">Kontrollgeräte (Low Cost)
 </t>
    </r>
    <r>
      <rPr>
        <sz val="9"/>
        <color theme="1"/>
        <rFont val="Arial"/>
        <family val="2"/>
      </rPr>
      <t>(HW und SW, Installation)</t>
    </r>
  </si>
  <si>
    <t>Validatoren in Fahrzeugen mit Funk</t>
  </si>
  <si>
    <t>ABO</t>
  </si>
  <si>
    <t>Gelegenheitskunden - Prepaid</t>
  </si>
  <si>
    <t>Gelegenheitskunden - Postpaid</t>
  </si>
  <si>
    <r>
      <t xml:space="preserve">Validatoren in Fahrzeugen mit Funk
</t>
    </r>
    <r>
      <rPr>
        <sz val="9"/>
        <rFont val="Arial"/>
        <family val="2"/>
      </rPr>
      <t>(Helpdesk,</t>
    </r>
    <r>
      <rPr>
        <sz val="9"/>
        <color rgb="FF000099"/>
        <rFont val="Arial"/>
        <family val="2"/>
      </rPr>
      <t xml:space="preserve"> Störungsbeseitigung</t>
    </r>
    <r>
      <rPr>
        <sz val="9"/>
        <rFont val="Arial"/>
        <family val="2"/>
      </rPr>
      <t>)</t>
    </r>
  </si>
  <si>
    <r>
      <t xml:space="preserve">Validatoren auf Stationen
</t>
    </r>
    <r>
      <rPr>
        <sz val="9"/>
        <rFont val="Arial"/>
        <family val="2"/>
      </rPr>
      <t xml:space="preserve">(Helpdesk, </t>
    </r>
    <r>
      <rPr>
        <sz val="9"/>
        <color rgb="FF000099"/>
        <rFont val="Arial"/>
        <family val="2"/>
      </rPr>
      <t>Störungsbeseitigung</t>
    </r>
    <r>
      <rPr>
        <sz val="9"/>
        <rFont val="Arial"/>
        <family val="2"/>
      </rPr>
      <t>)</t>
    </r>
  </si>
  <si>
    <r>
      <t xml:space="preserve">Hintergrundsystem
</t>
    </r>
    <r>
      <rPr>
        <sz val="9"/>
        <rFont val="Arial"/>
        <family val="2"/>
      </rPr>
      <t xml:space="preserve">(Betrieb im Rechenzentrum, </t>
    </r>
    <r>
      <rPr>
        <sz val="9"/>
        <color rgb="FF000099"/>
        <rFont val="Arial"/>
        <family val="2"/>
      </rPr>
      <t>Störungsbeseitigung</t>
    </r>
    <r>
      <rPr>
        <sz val="9"/>
        <rFont val="Arial"/>
        <family val="2"/>
      </rPr>
      <t>, Helpdesk)</t>
    </r>
  </si>
  <si>
    <r>
      <t xml:space="preserve">Validatoren in Fahrzeugen mit Funk
</t>
    </r>
    <r>
      <rPr>
        <sz val="9"/>
        <rFont val="Arial"/>
        <family val="2"/>
      </rPr>
      <t xml:space="preserve">(Helpdesk, </t>
    </r>
    <r>
      <rPr>
        <sz val="9"/>
        <color rgb="FF000099"/>
        <rFont val="Arial"/>
        <family val="2"/>
      </rPr>
      <t>Störungsbeseitigung</t>
    </r>
    <r>
      <rPr>
        <sz val="9"/>
        <rFont val="Arial"/>
        <family val="2"/>
      </rPr>
      <t>)</t>
    </r>
  </si>
  <si>
    <r>
      <t xml:space="preserve">Kontrollgeräte (Low Cost)
</t>
    </r>
    <r>
      <rPr>
        <sz val="9"/>
        <rFont val="Arial"/>
        <family val="2"/>
      </rPr>
      <t xml:space="preserve"> (Helpdesk, </t>
    </r>
    <r>
      <rPr>
        <sz val="9"/>
        <color rgb="FF000099"/>
        <rFont val="Arial"/>
        <family val="2"/>
      </rPr>
      <t>Störungsbeseitigung</t>
    </r>
    <r>
      <rPr>
        <sz val="9"/>
        <rFont val="Arial"/>
        <family val="2"/>
      </rPr>
      <t>)</t>
    </r>
  </si>
  <si>
    <t>Personalbediente Verkaufsstelle - Kiosk Barverkauf
(HW und SW, Installation)</t>
  </si>
  <si>
    <r>
      <t xml:space="preserve">Personalbediente Verkaufsstelle - Kiosk Barverkauf
</t>
    </r>
    <r>
      <rPr>
        <sz val="9"/>
        <color theme="1"/>
        <rFont val="Arial"/>
        <family val="2"/>
      </rPr>
      <t>(HW und SW, Installation)</t>
    </r>
  </si>
  <si>
    <r>
      <t xml:space="preserve">Personalbediente Verkaufsstelle 
- Kiosk Barverkauf
</t>
    </r>
    <r>
      <rPr>
        <sz val="9"/>
        <rFont val="Arial"/>
        <family val="2"/>
      </rPr>
      <t>(Helpdesk,</t>
    </r>
    <r>
      <rPr>
        <sz val="9"/>
        <color rgb="FF000099"/>
        <rFont val="Arial"/>
        <family val="2"/>
      </rPr>
      <t xml:space="preserve"> Störungsbeseitigung</t>
    </r>
    <r>
      <rPr>
        <sz val="9"/>
        <rFont val="Arial"/>
        <family val="2"/>
      </rPr>
      <t>)</t>
    </r>
  </si>
  <si>
    <t>Kunden</t>
  </si>
  <si>
    <t>Sicherheits-management</t>
  </si>
  <si>
    <t>Stückpreis je Leistungselement in €</t>
  </si>
  <si>
    <t>Anzahl zusätzliche Validatoren je Bahnsteigkante mit hohem Fahrgastaufkommen</t>
  </si>
  <si>
    <t>Anzahl zusätzliche Validatoren (hohes Fahrgastauf-kommen) gesamt</t>
  </si>
  <si>
    <t>Anzahl Validatoren (normales Fahrgastauf-kommen) gesamt</t>
  </si>
  <si>
    <t>Personalbediente Verkaufsstelle - Kundencenter</t>
  </si>
  <si>
    <t>Personalbediente Verkaufsstelle - Kiosk Barverkauf</t>
  </si>
  <si>
    <t>Stückpreis (€) pro Jahr</t>
  </si>
  <si>
    <t xml:space="preserve">Servicemanagement </t>
  </si>
  <si>
    <t>t0</t>
  </si>
  <si>
    <t>t1</t>
  </si>
  <si>
    <t>t2</t>
  </si>
  <si>
    <t>t3</t>
  </si>
  <si>
    <t>t4</t>
  </si>
  <si>
    <t>t5</t>
  </si>
  <si>
    <t>t6</t>
  </si>
  <si>
    <t>t7</t>
  </si>
  <si>
    <t>t8</t>
  </si>
  <si>
    <t>t9</t>
  </si>
  <si>
    <t>t10</t>
  </si>
  <si>
    <t>t11</t>
  </si>
  <si>
    <t>t12</t>
  </si>
  <si>
    <t>t13</t>
  </si>
  <si>
    <t>t14</t>
  </si>
  <si>
    <t>t15</t>
  </si>
  <si>
    <t>0 Euro</t>
  </si>
  <si>
    <t>Einführung</t>
  </si>
  <si>
    <t xml:space="preserve">Bezahlautomat </t>
  </si>
  <si>
    <t>Anzahl Smartcards im Umlauf 
(soweit sie von der Anzahl der Abonnenten abweicht)</t>
  </si>
  <si>
    <t>Anzahl jährlich neu beschaffter und ausgegebener Smartcards</t>
  </si>
  <si>
    <t>Anzahl Abonnenten ( Stichtag 31.12.)</t>
  </si>
  <si>
    <t>Austauschgründe</t>
  </si>
  <si>
    <t>Ersatz für mechnisch defekte Karten</t>
  </si>
  <si>
    <t>Ersatz für elektrisch defekte Karten</t>
  </si>
  <si>
    <t>zurückgegebene Karten wg. Beendigung des Abonnements</t>
  </si>
  <si>
    <t>Umgetauschte Karten wg. Produktwechsel</t>
  </si>
  <si>
    <t>Verlorene / gestohlene Karten</t>
  </si>
  <si>
    <t>weitere Gründe</t>
  </si>
  <si>
    <t>Anzahl der Fahrzeuge</t>
  </si>
  <si>
    <t>für ABO-Kunden</t>
  </si>
  <si>
    <t>für Gelegenheitskunden - Prepaid</t>
  </si>
  <si>
    <t>für Gelegenheitskunden - Postpaid</t>
  </si>
  <si>
    <t>Kosten (€)</t>
  </si>
  <si>
    <t>Mobilfunk Verträge</t>
  </si>
  <si>
    <t>Preis je Chipkarte (€)</t>
  </si>
  <si>
    <t>Fahrgeldeinnahmen gesamt</t>
  </si>
  <si>
    <t>Anzahl Bahnsteigkanten</t>
  </si>
  <si>
    <t>Mehreinnahmen für Neuangebote (€)</t>
  </si>
  <si>
    <t>SAMs</t>
  </si>
  <si>
    <t>Einnahmen aus EBE (€)</t>
  </si>
  <si>
    <t>Secure Access Module</t>
  </si>
  <si>
    <r>
      <rPr>
        <sz val="11"/>
        <color theme="1"/>
        <rFont val="Arial"/>
        <family val="2"/>
      </rPr>
      <t>Personalbediente Verkaufsstelle - Kundencenter</t>
    </r>
    <r>
      <rPr>
        <sz val="9"/>
        <color theme="1"/>
        <rFont val="Arial"/>
        <family val="2"/>
      </rPr>
      <t xml:space="preserve">
(HW und SW, Installation)</t>
    </r>
  </si>
  <si>
    <r>
      <rPr>
        <sz val="11"/>
        <color theme="1"/>
        <rFont val="Arial"/>
        <family val="2"/>
      </rPr>
      <t>Personalbediente Verkaufsstelle - Kiosk Barverkauf</t>
    </r>
    <r>
      <rPr>
        <sz val="9"/>
        <color theme="1"/>
        <rFont val="Arial"/>
        <family val="2"/>
      </rPr>
      <t xml:space="preserve">
(HW und SW, Installation)</t>
    </r>
  </si>
  <si>
    <r>
      <rPr>
        <sz val="11"/>
        <color theme="1"/>
        <rFont val="Arial"/>
        <family val="2"/>
      </rPr>
      <t>Secure Access Module</t>
    </r>
    <r>
      <rPr>
        <sz val="9"/>
        <color theme="1"/>
        <rFont val="Arial"/>
        <family val="2"/>
      </rPr>
      <t xml:space="preserve">
(HW und SW, Installation)</t>
    </r>
  </si>
  <si>
    <r>
      <t xml:space="preserve">Secure Access Module
</t>
    </r>
    <r>
      <rPr>
        <sz val="9"/>
        <color theme="1"/>
        <rFont val="Arial"/>
        <family val="2"/>
      </rPr>
      <t>(HW und SW, Installation)</t>
    </r>
  </si>
  <si>
    <r>
      <t xml:space="preserve">Secure Access Module
</t>
    </r>
    <r>
      <rPr>
        <sz val="9"/>
        <rFont val="Arial"/>
        <family val="2"/>
      </rPr>
      <t xml:space="preserve">(Helpdesk, </t>
    </r>
    <r>
      <rPr>
        <sz val="9"/>
        <color rgb="FF000099"/>
        <rFont val="Arial"/>
        <family val="2"/>
      </rPr>
      <t>Störungsbeseitigung</t>
    </r>
    <r>
      <rPr>
        <sz val="9"/>
        <rFont val="Arial"/>
        <family val="2"/>
      </rPr>
      <t>)</t>
    </r>
  </si>
  <si>
    <t>ABO-Kunden</t>
  </si>
  <si>
    <t>Austausch-Faktor (defekte Karten, Neukunden, Verluste) für</t>
  </si>
  <si>
    <t>Betriebskosten / Jahr</t>
  </si>
  <si>
    <t>Anzahl Komponenten</t>
  </si>
  <si>
    <t>stationäre Validatoren</t>
  </si>
  <si>
    <t>davon mit hohem Fahrgastaufkommen</t>
  </si>
  <si>
    <t>Personalbediente Verkaufsausrüstung</t>
  </si>
  <si>
    <t>Low Cost Kontrollgeräte</t>
  </si>
  <si>
    <t>Full Service Kontrollgeräte</t>
  </si>
  <si>
    <t>Chipkarten gesamt</t>
  </si>
  <si>
    <t>Hardware Hintergrundsystem</t>
  </si>
  <si>
    <t>Systembetrieb Hintergrundsystem</t>
  </si>
  <si>
    <t>Jahr</t>
  </si>
  <si>
    <t>Barwert / a</t>
  </si>
  <si>
    <t>Barwert aufsummiert</t>
  </si>
  <si>
    <t>Vertriebskostenquote EFM-3-System</t>
  </si>
  <si>
    <t>Investkosten</t>
  </si>
  <si>
    <t>Vertriebskostenquote aktuell</t>
  </si>
  <si>
    <t>Summe Systembetrieb</t>
  </si>
  <si>
    <t>Betriebskosten aktuell</t>
  </si>
  <si>
    <t>zu Grafik 1 und 2</t>
  </si>
  <si>
    <t>Abfrage: Nutzungsdauer der akutellen Chipkarten bei VRR-Verkehrsunternehmen</t>
  </si>
  <si>
    <t>Stand: 13.11.2013</t>
  </si>
  <si>
    <t>Durchschnittliche Werte über 2009 bis 2012</t>
  </si>
  <si>
    <t>Verkehrsunternehmen</t>
  </si>
  <si>
    <t>heute</t>
  </si>
  <si>
    <t>Weiter-nutzung Abo-Karten</t>
  </si>
  <si>
    <t>k.A.</t>
  </si>
  <si>
    <t>Erneuerungsrate / Jahr (in %)</t>
  </si>
  <si>
    <t>Nutzungsdauer (Jahre)</t>
  </si>
  <si>
    <t>abs</t>
  </si>
  <si>
    <t>%</t>
  </si>
  <si>
    <t>summe</t>
  </si>
  <si>
    <t xml:space="preserve">Plausibilität / Differenz </t>
  </si>
  <si>
    <t>ABO-Rückgaberate</t>
  </si>
  <si>
    <t>Kapitalwert aufsummiert</t>
  </si>
  <si>
    <t>Zinssatz für Kapitalwert</t>
  </si>
  <si>
    <t>Referenzdaten</t>
  </si>
  <si>
    <t>Aufwand je Arbeitsplatz</t>
  </si>
  <si>
    <t>Anzahl Validatoren mit Funk</t>
  </si>
  <si>
    <t>Einnahmen Chipkarten gesamt</t>
  </si>
  <si>
    <t>Kosten je Tag (€)</t>
  </si>
  <si>
    <t>Migrationskosten</t>
  </si>
  <si>
    <t>Kosten Ersatzfahrzeug je Tag (€)</t>
  </si>
  <si>
    <t>Umrüstzeit je Fahrzeug in Tagen</t>
  </si>
  <si>
    <t>Bus</t>
  </si>
  <si>
    <t>Bahn</t>
  </si>
  <si>
    <t>Stillstandszeiten</t>
  </si>
  <si>
    <t>Personalschulung</t>
  </si>
  <si>
    <t>Fahrer Bus / Bahn</t>
  </si>
  <si>
    <t>Personal Call Center</t>
  </si>
  <si>
    <t>Anzahl Fahrzeuge</t>
  </si>
  <si>
    <t>Anzahl Personen</t>
  </si>
  <si>
    <r>
      <t xml:space="preserve">Bus
</t>
    </r>
    <r>
      <rPr>
        <sz val="8"/>
        <color theme="1"/>
        <rFont val="Arial"/>
        <family val="2"/>
      </rPr>
      <t>(Umrüstzeiten / Stillstandszeiten)</t>
    </r>
  </si>
  <si>
    <r>
      <t xml:space="preserve">Bahn
</t>
    </r>
    <r>
      <rPr>
        <sz val="8"/>
        <color theme="1"/>
        <rFont val="Arial"/>
        <family val="2"/>
      </rPr>
      <t>(Umrüstzeiten / Stillstandszeiten)</t>
    </r>
  </si>
  <si>
    <r>
      <t xml:space="preserve">Fahrer
</t>
    </r>
    <r>
      <rPr>
        <sz val="8"/>
        <color theme="1"/>
        <rFont val="Arial"/>
        <family val="2"/>
      </rPr>
      <t>(Personalschulungen)</t>
    </r>
  </si>
  <si>
    <r>
      <t xml:space="preserve">Personal Call Center
</t>
    </r>
    <r>
      <rPr>
        <sz val="8"/>
        <color theme="1"/>
        <rFont val="Arial"/>
        <family val="2"/>
      </rPr>
      <t>(Personalschulungen)</t>
    </r>
  </si>
  <si>
    <t>Verkaufspersonal</t>
  </si>
  <si>
    <r>
      <t xml:space="preserve">Verkaufspersonal
</t>
    </r>
    <r>
      <rPr>
        <sz val="8"/>
        <color theme="1"/>
        <rFont val="Arial"/>
        <family val="2"/>
      </rPr>
      <t>(Personalschulungen)</t>
    </r>
  </si>
  <si>
    <t>Anzahl Ersatzbusse je Fahrzeug</t>
  </si>
  <si>
    <t>Personalkosten gesamt</t>
  </si>
  <si>
    <t>Gehalt Durchschnitt</t>
  </si>
  <si>
    <t>Verkaufspersonal gesamt</t>
  </si>
  <si>
    <t>Verhältnis Personal zu Verkaufsplätze (gerundet)</t>
  </si>
  <si>
    <t>interne Kosten je Personentag (€)</t>
  </si>
  <si>
    <t>Projektmanagement und sonstiger Personalaufwand</t>
  </si>
  <si>
    <t>interne Kosten je Personenmonat (€)</t>
  </si>
  <si>
    <t>Anzahl Personenmonate</t>
  </si>
  <si>
    <t>Personalschulungen</t>
  </si>
  <si>
    <t>Anzahl Fahrzeugersatztage je Fahrzeug</t>
  </si>
  <si>
    <t>Anzahl Personentage</t>
  </si>
  <si>
    <t>Kosten je Personentag</t>
  </si>
  <si>
    <t>Kosten je Personenmonat</t>
  </si>
  <si>
    <t>Internes Projektmanagement und sonstiger Personalaufwand</t>
  </si>
  <si>
    <t>Internes Projektmanagement</t>
  </si>
  <si>
    <t>Kapitalwert der Investition (15 Jahre)</t>
  </si>
  <si>
    <t>360.000 € /Fahrzeug, Laufzeit 8 Jahre, 360 Tage/a</t>
  </si>
  <si>
    <t>Arbeitsplätze</t>
  </si>
  <si>
    <t>Projektarbeiten und sonst. Aufwände</t>
  </si>
  <si>
    <t>PM</t>
  </si>
  <si>
    <t>Kosten pro Serviceplatz</t>
  </si>
  <si>
    <t>Ticketsortiment</t>
  </si>
  <si>
    <t>Einnahmen in €</t>
  </si>
  <si>
    <t>Abweichung</t>
  </si>
  <si>
    <r>
      <t>2011</t>
    </r>
    <r>
      <rPr>
        <b/>
        <vertAlign val="superscript"/>
        <sz val="9.5"/>
        <color rgb="FF000000"/>
        <rFont val="Times New Roman"/>
        <family val="1"/>
      </rPr>
      <t>1)</t>
    </r>
  </si>
  <si>
    <t>absolut</t>
  </si>
  <si>
    <t>in %</t>
  </si>
  <si>
    <t>Endkunden</t>
  </si>
  <si>
    <t>Abonnements</t>
  </si>
  <si>
    <t>Gesamt</t>
  </si>
  <si>
    <t>davon Internetshop</t>
  </si>
  <si>
    <t>Zeittickets</t>
  </si>
  <si>
    <t>Monatstickets Einzelkauf</t>
  </si>
  <si>
    <t>davon HandyTicket</t>
  </si>
  <si>
    <r>
      <t>SozialTicket</t>
    </r>
    <r>
      <rPr>
        <vertAlign val="superscript"/>
        <sz val="9.5"/>
        <color theme="1"/>
        <rFont val="Arial"/>
        <family val="2"/>
      </rPr>
      <t>2)</t>
    </r>
  </si>
  <si>
    <t>Barsortiment</t>
  </si>
  <si>
    <t>NRW-weite Tickets (inkl. Schönes Wochenende Ticket)</t>
  </si>
  <si>
    <t>Sonstige (inkl.1.-Klasse-Zuschlag)</t>
  </si>
  <si>
    <t>Vertragskunden</t>
  </si>
  <si>
    <t>Großkundenangebote</t>
  </si>
  <si>
    <t>davon FirmenTicket-100/100-Modell</t>
  </si>
  <si>
    <t>davon FirmenTicket Rabatt-Modell</t>
  </si>
  <si>
    <t>davon  Großkunden-Rabattmodell</t>
  </si>
  <si>
    <t>SchokoTicket - Schulträgerzahlungen</t>
  </si>
  <si>
    <t>SemesterTicket (VRR)</t>
  </si>
  <si>
    <t>KombiTicket-Angebote</t>
  </si>
  <si>
    <r>
      <t>1)</t>
    </r>
    <r>
      <rPr>
        <sz val="9.5"/>
        <color theme="1"/>
        <rFont val="Arial"/>
        <family val="2"/>
      </rPr>
      <t xml:space="preserve"> inklusive 13. Meldung und VGN, daher nicht vergleichbar mit Vertriebsbericht 2011</t>
    </r>
  </si>
  <si>
    <t>Mehreinnahmen einmalig</t>
  </si>
  <si>
    <t>Mehrnutzung durch Bevorratung</t>
  </si>
  <si>
    <t>Aufschlag für Bordverkauf</t>
  </si>
  <si>
    <t>Mehrnutzung durch Gelegenheitsfahrer</t>
  </si>
  <si>
    <t>Mehrnutzung Abo-Kunden</t>
  </si>
  <si>
    <t>Vermeiden von Lebensbrüchen</t>
  </si>
  <si>
    <t>Vermarktung Smartcardfläche</t>
  </si>
  <si>
    <t>Mehrerlöse CRM</t>
  </si>
  <si>
    <t>Mehreinnahmen in %</t>
  </si>
  <si>
    <t>Mehreinnahmen in €</t>
  </si>
  <si>
    <t>Grundlage</t>
  </si>
  <si>
    <t>Grundlage ist der Umsatz Bartarif</t>
  </si>
  <si>
    <t>Grundlage ist der Umsatz Firmentickets (Großkundenangebote)</t>
  </si>
  <si>
    <t>Kosten für Cash-Handling</t>
  </si>
  <si>
    <t>2,2 Personale / Fahrzeug 
Kosten je Personentag: 36.000€ Jahresgehalt, 1600 h/a, 8 h/Tag</t>
  </si>
  <si>
    <t>Anzahl Verkaufsarbeitsplätze zu Personal aus "Kosten Kundencenter": Faktor 1,2
Kosten je Personentag: 36.000€ Jahresgehalt, 1600 h/a, 8 h/Tag</t>
  </si>
  <si>
    <t>Kosten je Personentag: 36.000€ Jahresgehalt, 1600 h/a, 8 h/Tag</t>
  </si>
  <si>
    <t>davon Material (€)</t>
  </si>
  <si>
    <r>
      <t xml:space="preserve">Validatoren auf Stationen 
</t>
    </r>
    <r>
      <rPr>
        <sz val="11"/>
        <color theme="1"/>
        <rFont val="Arial"/>
        <family val="2"/>
      </rPr>
      <t>Straßenbahn / U-Bahn (unterirdisch)</t>
    </r>
  </si>
  <si>
    <t>Periode</t>
  </si>
  <si>
    <t>Jahr (informativ)</t>
  </si>
  <si>
    <t>Preissteigerung bei Ersatzbeschaffungen</t>
  </si>
  <si>
    <t>Investition und Ersatzinvestitionen</t>
  </si>
  <si>
    <t>ND</t>
  </si>
  <si>
    <t>AHK</t>
  </si>
  <si>
    <t>Beschaffungsphase 1</t>
  </si>
  <si>
    <t>Validatoren Stationen</t>
  </si>
  <si>
    <t>Validatoren Fahrzeuge m Funk</t>
  </si>
  <si>
    <t>Validatoren Fahrzeuge o Funk</t>
  </si>
  <si>
    <t>Kontrollgeräte Low Cost</t>
  </si>
  <si>
    <t>Bezahlautomaten</t>
  </si>
  <si>
    <t>Kundencenter</t>
  </si>
  <si>
    <t>Kiosk Barverkauf</t>
  </si>
  <si>
    <t>Projektarbeiten und -aufwände</t>
  </si>
  <si>
    <t>Summe Cash Flow Invest</t>
  </si>
  <si>
    <t>Summe Phasen</t>
  </si>
  <si>
    <t>Zinssatz</t>
  </si>
  <si>
    <t>Dauer</t>
  </si>
  <si>
    <t>Zielwert</t>
  </si>
  <si>
    <t>Annuität</t>
  </si>
  <si>
    <t>Tilgungsperiode I</t>
  </si>
  <si>
    <t>Darlehensstand Periodenbeginn</t>
  </si>
  <si>
    <t>Aufbuchung Darlehen</t>
  </si>
  <si>
    <t>Tilgung</t>
  </si>
  <si>
    <t>Darlehensstand Periodenende</t>
  </si>
  <si>
    <t>Zins</t>
  </si>
  <si>
    <t>Aufwand Invest</t>
  </si>
  <si>
    <t>Aufwand Betrieb</t>
  </si>
  <si>
    <t>Zwischensumme</t>
  </si>
  <si>
    <t>Aufwand Finanzierung</t>
  </si>
  <si>
    <t>Verwaltungskosten</t>
  </si>
  <si>
    <t>Wagnis und Gewinn</t>
  </si>
  <si>
    <t>Aufwand Gesamt</t>
  </si>
  <si>
    <t>Umsätze</t>
  </si>
  <si>
    <t>Vertriebskostenquote</t>
  </si>
  <si>
    <t>Fahrerarbeitsplätze</t>
  </si>
  <si>
    <r>
      <t xml:space="preserve">Fahrerarbeitsplätze
</t>
    </r>
    <r>
      <rPr>
        <sz val="9"/>
        <color theme="1"/>
        <rFont val="Arial"/>
        <family val="2"/>
      </rPr>
      <t>(HW und SW, Installation)</t>
    </r>
  </si>
  <si>
    <r>
      <t xml:space="preserve">Fahrerarbeitsplätze
</t>
    </r>
    <r>
      <rPr>
        <sz val="9"/>
        <rFont val="Arial"/>
        <family val="2"/>
      </rPr>
      <t xml:space="preserve">(Helpdesk, </t>
    </r>
    <r>
      <rPr>
        <sz val="9"/>
        <color rgb="FF000099"/>
        <rFont val="Arial"/>
        <family val="2"/>
      </rPr>
      <t>Störungsbeseitigung</t>
    </r>
    <r>
      <rPr>
        <sz val="9"/>
        <rFont val="Arial"/>
        <family val="2"/>
      </rPr>
      <t>)</t>
    </r>
  </si>
  <si>
    <t>Personalkosten (€)</t>
  </si>
  <si>
    <t xml:space="preserve"> Montage + Installation und Inbetriebnahme</t>
  </si>
  <si>
    <t>Personalkosten gesamt (€)</t>
  </si>
  <si>
    <t>Personalkosten pro Stück und Jahr</t>
  </si>
  <si>
    <t>Personalkosten (€) gesamt pro Jahr</t>
  </si>
  <si>
    <t>Sachkosten (€) pro Stück und Jahr</t>
  </si>
  <si>
    <t>Sachkosten (€) gesamt pro Jahr</t>
  </si>
  <si>
    <t>Verkaufsautomat Münze/Schein/Karte, Regionalbahn / S-Bahn</t>
  </si>
  <si>
    <r>
      <t xml:space="preserve">Validatoren auf Stationen
</t>
    </r>
    <r>
      <rPr>
        <sz val="11"/>
        <color theme="1"/>
        <rFont val="Arial"/>
        <family val="2"/>
      </rPr>
      <t>Regionalbahn / S-Bahn</t>
    </r>
  </si>
  <si>
    <t>Verkaufsautomat Münze/Schein/Karte, Straßenbahn / U-Bahn</t>
  </si>
  <si>
    <t>Regionalbahn / S-Bahn</t>
  </si>
  <si>
    <t>Bezahlautomat, Straßenbahn / U-Bahn</t>
  </si>
  <si>
    <t>Bezahlautomat, Regionalbahn / S-Bahn</t>
  </si>
  <si>
    <t>Gesamt (€) abz. Drittmittel</t>
  </si>
  <si>
    <t>anzusetzen</t>
  </si>
  <si>
    <t>EK-Quote</t>
  </si>
  <si>
    <t>EK-Rendite</t>
  </si>
  <si>
    <t>FK-Quote</t>
  </si>
  <si>
    <t>Darl.volumen</t>
  </si>
  <si>
    <t>Annuität FK</t>
  </si>
  <si>
    <t>Tilgungsphase</t>
  </si>
  <si>
    <t>Fremdkapital</t>
  </si>
  <si>
    <t>Eigenkapital</t>
  </si>
  <si>
    <t>Drittmittel (%)</t>
  </si>
  <si>
    <t>Grundlage ist die Anzahl der verkauften Tickets in allen Bussen pro Jahr</t>
  </si>
  <si>
    <t>Grundlage ist die Anzahl der Smardcards (Erstausgabe)</t>
  </si>
  <si>
    <t>Mobilfunkverträge</t>
  </si>
  <si>
    <t>Grundlage ist der Umsatz Abo-Einnahmen inkl. Zeitkarten</t>
  </si>
  <si>
    <t>Ersatzbeschaffungsphase</t>
  </si>
  <si>
    <t>Basispreis gesamt (€)</t>
  </si>
  <si>
    <t>Provision (%)</t>
  </si>
  <si>
    <t>Vermarktung Smartcardfläche (im 1. Jahr)</t>
  </si>
  <si>
    <t>Vermarktung Smartcardfläche (Folgejahre)</t>
  </si>
  <si>
    <t>Zinsen, EK-Rendite, Wagnis, Verwaltung</t>
  </si>
  <si>
    <t>Betriebs- und Serviceorganisation</t>
  </si>
  <si>
    <r>
      <t xml:space="preserve">Fahrerverkauf
</t>
    </r>
    <r>
      <rPr>
        <sz val="9"/>
        <color theme="1"/>
        <rFont val="Arial"/>
        <family val="2"/>
      </rPr>
      <t>(HW und SW, Installation, Schnittstelle)</t>
    </r>
  </si>
  <si>
    <t>(DB, HCR, Remscheid, Velbert,)</t>
  </si>
  <si>
    <t>Fehlende Vus</t>
  </si>
  <si>
    <t>pauschaler Aufschlag 40 Arbeitsplätze für ca. 20 zusätzliche Standorte (DB und andere)</t>
  </si>
  <si>
    <t>Faktor erhöhter Personalaufwand</t>
  </si>
  <si>
    <t>Faktor erhöhter Materialaufwand</t>
  </si>
  <si>
    <t>Daten Finanzierungsrechnung</t>
  </si>
  <si>
    <t>EK-Anteil</t>
  </si>
  <si>
    <t>EK-Verzinsung</t>
  </si>
  <si>
    <t>FK-Verzinsung</t>
  </si>
  <si>
    <t>Zinssatz für Kapitalwertberechnung</t>
  </si>
  <si>
    <t>Aufladeautomat, Straßenbahn/U-Bahn</t>
  </si>
  <si>
    <t>Aufladeautomat, S-Bahn/Regionalbahn</t>
  </si>
  <si>
    <t>Verkaufsautomat ( Dispenser, Papierhandling), Straßenbahn / U-Bahn</t>
  </si>
  <si>
    <t>Verkaufsautomat (Dispenser, Papierhandling), Regionalbahn / S-Bahn</t>
  </si>
  <si>
    <t>Umsätze mit EFM-3</t>
  </si>
  <si>
    <t>Zusammenfassung Fahrzeuge</t>
  </si>
  <si>
    <t>Ergebnisse</t>
  </si>
  <si>
    <t>Finanzierung</t>
  </si>
  <si>
    <t>Investitionskosten abz. Drittmittel</t>
  </si>
  <si>
    <t>Wiederbeschaffungs-kosten / Jahr</t>
  </si>
  <si>
    <t>Komponenten</t>
  </si>
  <si>
    <t>ÖSPV: Straßenbahn, Stadtbahn, U-Bahn, O-Bus</t>
  </si>
  <si>
    <t>Validatoren Bus</t>
  </si>
  <si>
    <t>Validatoren Bahnen</t>
  </si>
  <si>
    <t>Einnahmen aus Pönale (%)</t>
  </si>
  <si>
    <t>Einnahmesteigerung jährlich (%)</t>
  </si>
  <si>
    <t>div. Einnahmen</t>
  </si>
  <si>
    <t>Funkmodule / Fahrzeug</t>
  </si>
  <si>
    <t>Erläuterung: 1 = alle Validatoren mit Funkmodul ; 2 = ein zentrales Funkmodule für alle Validatoren</t>
  </si>
  <si>
    <t>Erläuterung: 1 = ein Validator / Tür ; 2 = zwei Validatoren / Tür ; 3 = ein Validator / Fahrertür + zwei Validatoren / weitere Türen</t>
  </si>
  <si>
    <t>Validatoren / Tür</t>
  </si>
  <si>
    <t>Dauer in Tagen</t>
  </si>
  <si>
    <t>Nutzungsdauer 
in Jahren</t>
  </si>
  <si>
    <t>Drittmittel bei Investition
in %</t>
  </si>
  <si>
    <t>Mehrerlöse</t>
  </si>
  <si>
    <t>CRM-Maßnahmen</t>
  </si>
  <si>
    <t>weitere Mehrerlöse</t>
  </si>
  <si>
    <t>( %)</t>
  </si>
  <si>
    <t>pro Einheit ( € )</t>
  </si>
  <si>
    <t>CRM-Maßnahmen, sonstiges</t>
  </si>
  <si>
    <t xml:space="preserve">Grundlage ist die Anzahl der ausgegebenen Smardcards / Jahr </t>
  </si>
  <si>
    <t>ÖSPV: 
Straßenbahn, Stadtbahn, U-Bahn, O-Bus</t>
  </si>
  <si>
    <t>Busse</t>
  </si>
  <si>
    <t>stationäre Validatoren, Reserve (in %)</t>
  </si>
  <si>
    <t>mobile Validatoren, Reserve (in %)</t>
  </si>
  <si>
    <t>lin.</t>
  </si>
  <si>
    <t>Verteilung</t>
  </si>
  <si>
    <t>geschätzte Umsätze VRR 
(Grundlage 2012)</t>
  </si>
  <si>
    <t>heutige Vertriebskostenquote (Vq) der VRR Vus</t>
  </si>
  <si>
    <t>heutige Vertriebskosten VRR VU aus Vq</t>
  </si>
  <si>
    <t>Differenz Vertriebskosten 
EFM3 zu IST</t>
  </si>
  <si>
    <t>Umsätze VRR (Basisjahr 2012)</t>
  </si>
  <si>
    <t>heutige Vertriebskostenquote (Vq) der VRR VU</t>
  </si>
  <si>
    <t>Aufwand EFM3-System</t>
  </si>
  <si>
    <t>1. Aufwand Wiederbeschaffung System</t>
  </si>
  <si>
    <t>Summe Wiederbeschaffung</t>
  </si>
  <si>
    <t>Aufwand EFM-3 System
Finanzierung, Betriebskosten + Wiederbeschaffungskosten</t>
  </si>
  <si>
    <t>EFM-3 Betriebskosten</t>
  </si>
  <si>
    <t>Verkaufsstellen auf Provisionsbasis</t>
  </si>
  <si>
    <t>Gesamtaufwand pro Jahr über alle Vkst.</t>
  </si>
  <si>
    <t>Verkaufsstelle Kat A
sehr große Vkst.</t>
  </si>
  <si>
    <t>Verkaufsstelle Kat B
große Vkst.</t>
  </si>
  <si>
    <t>Verkaufsstelle Kat C
kleine Vkst.</t>
  </si>
  <si>
    <t>Unternehmenseigene Verkaufsstellen</t>
  </si>
  <si>
    <t>Kosten pro Jahr aller Vkst.</t>
  </si>
  <si>
    <t>Nettobarwert</t>
  </si>
  <si>
    <t>Kapitalwert = Netto-Barwert</t>
  </si>
  <si>
    <t>verbleibenderÜberschuss</t>
  </si>
  <si>
    <t>Betriebskosten + Finanzierung</t>
  </si>
  <si>
    <t>PERIODENAUFWAND GESAMT</t>
  </si>
  <si>
    <t>Vorab-
Finanzierungskosten</t>
  </si>
  <si>
    <t>Aufwand EFM-3 System 
Betriebskosten incl. Finanzierung ohne Tilgung, ohne Ersatzinvestition</t>
  </si>
  <si>
    <t>Kapitalwert</t>
  </si>
  <si>
    <t>excl. Finanzierung, incl. Ersatzbeschaffung</t>
  </si>
  <si>
    <t>Variante Fremdfinanzierung</t>
  </si>
  <si>
    <t>Investitions-/
Betriebskosten gesamt</t>
  </si>
  <si>
    <t>VU A</t>
  </si>
  <si>
    <t>VU B</t>
  </si>
  <si>
    <t>VU C</t>
  </si>
  <si>
    <t>VU D</t>
  </si>
  <si>
    <t>VU E</t>
  </si>
  <si>
    <t>VU F</t>
  </si>
  <si>
    <t>VU G</t>
  </si>
  <si>
    <t>VU H</t>
  </si>
  <si>
    <t>VU I</t>
  </si>
  <si>
    <t>VU K</t>
  </si>
  <si>
    <t>VU L</t>
  </si>
  <si>
    <t>nur zur Information 
Eingaben über Nutzungsdauer erfolgen manuell</t>
  </si>
  <si>
    <r>
      <t xml:space="preserve">Interne Kosten der Verkehrsbetriebe, 
Berechnung je Verkehrsbetrieb 
Kosten gehen </t>
    </r>
    <r>
      <rPr>
        <b/>
        <u/>
        <sz val="11"/>
        <rFont val="Arial"/>
        <family val="2"/>
      </rPr>
      <t>nicht</t>
    </r>
    <r>
      <rPr>
        <sz val="11"/>
        <rFont val="Arial"/>
        <family val="2"/>
      </rPr>
      <t xml:space="preserve"> in die Berechnung der Gesamt-Investitionskosten ein</t>
    </r>
  </si>
  <si>
    <r>
      <t xml:space="preserve">Anmerkung:
</t>
    </r>
    <r>
      <rPr>
        <sz val="11"/>
        <rFont val="Arial"/>
        <family val="2"/>
      </rPr>
      <t>Die Kosten für Mobilfunkverträge sind sehr konservativ geschätzt. 
Bei der sehr hohen Anzahl an SIM-Karten sollte ein vorteilhafteres Preismodell erreichbar sein, welches auf Gesamtvolumina aufbaut.</t>
    </r>
  </si>
  <si>
    <t>Anlass für eine Erneuerung sind häufig entweder in der Leuchtkraft nachlassende Displays oder stark abgenutzte Gehäuse. In beiden Fällen ist die Funktionsfähigkeit weiterhin gegeben aber das erscheinungsbild gegenüber den Fahrgästen nicht mehr optimal. Da der Austausch des Bauteils vergleichsweise teuer ist, ist es ratsam zugunsten einer Erneuerung des gesamten Geräts zu entscheiden.</t>
  </si>
  <si>
    <t>z.B. NFC-Smartphones o.ä. 
I.d.R. keine wirtschaftlich sinnvolle Reparatur möglich</t>
  </si>
  <si>
    <t>z.B. Touch-Pad mit WEB-Interface und Leser für Smartcards</t>
  </si>
  <si>
    <t>zur erreichbaren Nutzungsdauer vgl. Reiter 'Nutzungsdauer Chipkarten'</t>
  </si>
  <si>
    <r>
      <rPr>
        <b/>
        <sz val="12"/>
        <color rgb="FF000099"/>
        <rFont val="Arial"/>
        <family val="2"/>
      </rPr>
      <t>Störungsbeseitigung:</t>
    </r>
    <r>
      <rPr>
        <sz val="12"/>
        <color rgb="FF000099"/>
        <rFont val="Arial"/>
        <family val="2"/>
      </rPr>
      <t xml:space="preserve">
Die Störungsbeseitigung beinhaltet den ggf. erforderlichen Austausch bzw. die Reparatur defekter Komponenten einschließlich aller benötigter Einzelteile und sonstigem Material.
</t>
    </r>
    <r>
      <rPr>
        <sz val="12"/>
        <color rgb="FF006600"/>
        <rFont val="Arial"/>
        <family val="2"/>
      </rPr>
      <t xml:space="preserve">Ein wesentlicher Kostenfaktor für die Instandhaltung, ist die Ausstattung der </t>
    </r>
    <r>
      <rPr>
        <b/>
        <sz val="12"/>
        <color rgb="FF006600"/>
        <rFont val="Arial"/>
        <family val="2"/>
      </rPr>
      <t>Verkaufsautomaten</t>
    </r>
    <r>
      <rPr>
        <sz val="12"/>
        <color rgb="FF006600"/>
        <rFont val="Arial"/>
        <family val="2"/>
      </rPr>
      <t xml:space="preserve"> bzgl. der akzeptierten Zahlungsmittel. Für die Kostenabschätzung wurde ein Automat angenommen, der sowohl Münzen als auch Geldscheine als auch Kartenzahlungen unterstützt. Durch Verzicht auf eines dieser Zahlungsmittel bei einem Teil der Verkaufsautomaten ließen sich die kosten einsparen. 
</t>
    </r>
    <r>
      <rPr>
        <b/>
        <sz val="12"/>
        <color rgb="FFFF0000"/>
        <rFont val="Arial"/>
        <family val="2"/>
      </rPr>
      <t>Bezahl-/Aufladeautomaten</t>
    </r>
    <r>
      <rPr>
        <sz val="12"/>
        <color rgb="FFFF0000"/>
        <rFont val="Arial"/>
        <family val="2"/>
      </rPr>
      <t xml:space="preserve"> und </t>
    </r>
    <r>
      <rPr>
        <b/>
        <sz val="12"/>
        <color rgb="FFFF0000"/>
        <rFont val="Arial"/>
        <family val="2"/>
      </rPr>
      <t xml:space="preserve">mobile Automaten </t>
    </r>
    <r>
      <rPr>
        <sz val="12"/>
        <color rgb="FFFF0000"/>
        <rFont val="Arial"/>
        <family val="2"/>
      </rPr>
      <t>sind wesentlich weniger komplex ausgestattet, z.B. nur Annahme von Geldscheinen und Kartenzahlung.</t>
    </r>
    <r>
      <rPr>
        <sz val="12"/>
        <color rgb="FF006600"/>
        <rFont val="Arial"/>
        <family val="2"/>
      </rPr>
      <t xml:space="preserve"> </t>
    </r>
  </si>
  <si>
    <r>
      <rPr>
        <b/>
        <sz val="11"/>
        <color rgb="FFFF0000"/>
        <rFont val="Arial"/>
        <family val="2"/>
      </rPr>
      <t>Mobile Automaten</t>
    </r>
    <r>
      <rPr>
        <sz val="11"/>
        <rFont val="Arial"/>
        <family val="2"/>
      </rPr>
      <t xml:space="preserve">
</t>
    </r>
    <r>
      <rPr>
        <sz val="9"/>
        <rFont val="Arial"/>
        <family val="2"/>
      </rPr>
      <t xml:space="preserve">(Helpdesk, </t>
    </r>
    <r>
      <rPr>
        <sz val="9"/>
        <color rgb="FF000099"/>
        <rFont val="Arial"/>
        <family val="2"/>
      </rPr>
      <t>Störungsbeseitigung</t>
    </r>
    <r>
      <rPr>
        <sz val="9"/>
        <rFont val="Arial"/>
        <family val="2"/>
      </rPr>
      <t>)</t>
    </r>
  </si>
  <si>
    <r>
      <rPr>
        <b/>
        <sz val="11"/>
        <color rgb="FFFF0000"/>
        <rFont val="Arial"/>
        <family val="2"/>
      </rPr>
      <t>Bezahl-/Aufladeautomat</t>
    </r>
    <r>
      <rPr>
        <sz val="11"/>
        <rFont val="Arial"/>
        <family val="2"/>
      </rPr>
      <t xml:space="preserve">
</t>
    </r>
    <r>
      <rPr>
        <sz val="9"/>
        <rFont val="Arial"/>
        <family val="2"/>
      </rPr>
      <t xml:space="preserve">(Helpdesk, </t>
    </r>
    <r>
      <rPr>
        <sz val="9"/>
        <color rgb="FF000099"/>
        <rFont val="Arial"/>
        <family val="2"/>
      </rPr>
      <t>Störungsbeseitigung</t>
    </r>
    <r>
      <rPr>
        <sz val="9"/>
        <rFont val="Arial"/>
        <family val="2"/>
      </rPr>
      <t>)</t>
    </r>
  </si>
  <si>
    <t>Summe Investition</t>
  </si>
  <si>
    <t>gesamt</t>
  </si>
  <si>
    <t>Summation 
Kosten - Einsparungen</t>
  </si>
  <si>
    <t>durchschn. Vertriebskostenquote</t>
  </si>
  <si>
    <t>Errechnet aus Anzahl Verkaufsstellen * 1,53 (Verhältnis Verkaufstellen zu Personal aus "Kosten Kundencenter")</t>
  </si>
  <si>
    <t>Betr.-Ko. incl. Wiederbeschaffung</t>
  </si>
  <si>
    <t>Betr.-Ko. incl. Finanzierung</t>
  </si>
  <si>
    <t>fremde Verkaufsstellen auf Provisionsbasis</t>
  </si>
  <si>
    <t>4. Aufwand Verkaufsstellen</t>
  </si>
  <si>
    <t>5. Aufwand Finanzierung</t>
  </si>
  <si>
    <t>6. Aufwand Chipkarten</t>
  </si>
  <si>
    <t>Betriebskosten eigene Verkaufsstellen</t>
  </si>
  <si>
    <t>Kosten fremde Verkaufsstellen (Provision)</t>
  </si>
  <si>
    <t>Systemeinführung</t>
  </si>
  <si>
    <t>Systembetrieb</t>
  </si>
  <si>
    <t>Systemkomponenten</t>
  </si>
  <si>
    <t>Validatoren</t>
  </si>
  <si>
    <t>Auf Bahnsteigen</t>
  </si>
  <si>
    <t>Vorschlag: Große VU = 12 PM, mittlere VU = 8 PM, kleine VU = 4 PM</t>
  </si>
  <si>
    <t>jährliche Kosten (€)</t>
  </si>
  <si>
    <t>Austausch-Faktor (%)</t>
  </si>
  <si>
    <t>Einnahmen Chipkarte</t>
  </si>
  <si>
    <t>berücksichtigt die Wiederbeschaffung nach technischem Verschleiß (alle 5 Jahre)</t>
  </si>
  <si>
    <t>Wiederbeschaffung</t>
  </si>
  <si>
    <t>Allgemeine Kosten für die Arbeitsplätze (Möbel etc.)</t>
  </si>
  <si>
    <t>Personalbediente Verkaufsstelle
Kiosk - Barverkauf (Provision)</t>
  </si>
  <si>
    <r>
      <t>Kosten</t>
    </r>
    <r>
      <rPr>
        <b/>
        <u/>
        <sz val="14"/>
        <rFont val="Arial"/>
        <family val="2"/>
      </rPr>
      <t xml:space="preserve"> pro Jahr pro Verkaufsstelle</t>
    </r>
  </si>
  <si>
    <t>Daten Finanzierungsrechnung (Übertrag aus Übersicht)</t>
  </si>
  <si>
    <t>Ausstattungsvarianten Validatoren in Fahrzeugen</t>
  </si>
  <si>
    <t>Reserve-Validatoren</t>
  </si>
  <si>
    <t>Summen:</t>
  </si>
  <si>
    <t>ASc</t>
  </si>
  <si>
    <t>Gesamtkosten periodenbezogen</t>
  </si>
  <si>
    <t>Blatt</t>
  </si>
  <si>
    <t>Formel PERIODENAUFWAND GESAMT</t>
  </si>
  <si>
    <t>Änderungsort</t>
  </si>
  <si>
    <t>- Aufwand Chipkarten aus Summe gestrichen;
- Aufwand fremde VVK-Stellen in Summe eingefügt</t>
  </si>
  <si>
    <t>Übersicht der Änderungen im Dokument</t>
  </si>
  <si>
    <t>Version</t>
  </si>
  <si>
    <t>301</t>
  </si>
  <si>
    <t>11.03.2014</t>
  </si>
  <si>
    <t>Datum</t>
  </si>
  <si>
    <t>Bearbeiter</t>
  </si>
  <si>
    <t>Änderungs-Inhalt(e)</t>
  </si>
  <si>
    <t>14.04.2014</t>
  </si>
  <si>
    <t>ASc/Thi</t>
  </si>
  <si>
    <t>Übersicht</t>
  </si>
  <si>
    <t>durchschnittliche Vertriebskostenquote</t>
  </si>
  <si>
    <t>Unterscheidung eingefügt:
- externe Betrachtung
  (incl. Tilgung und Wiederbeschaffungskosten)
- VU-Betrachtung 
  (excl. Tilgung und Wiederbeschaffungskosten)</t>
  </si>
  <si>
    <t>VU-Betrachtung 
(excl. Tilgung und Wiederbeschaffungskosten)</t>
  </si>
  <si>
    <t>externe Betrachtung 
(incl. Tilgung und Wiederbeschaffungskosten)</t>
  </si>
  <si>
    <t>alle</t>
  </si>
  <si>
    <t xml:space="preserve">Kennwörter des Blattschutzes entfernt
Blattschutz ohne Kennwörter wieder hergestellt </t>
  </si>
  <si>
    <t>Korrekturen</t>
  </si>
  <si>
    <t>neues Blatt zur Dokumentation der Korrekturen/Ergänzungen eingefügt</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</si>
</sst>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0\ &quot;€&quot;;\-#,##0\ &quot;€&quot;"/>
    <numFmt numFmtId="8" formatCode="#,##0.00\ &quot;€&quot;;[Red]\-#,##0.00\ &quot;€&quot;"/>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 &quot;€&quot;"/>
    <numFmt numFmtId="165" formatCode="0.0%"/>
    <numFmt numFmtId="166" formatCode="#,##0.00\ &quot;€&quot;"/>
    <numFmt numFmtId="167" formatCode="0\ &quot;Jahre&quot;"/>
    <numFmt numFmtId="168" formatCode="_-* #,##0\ [$€-407]_-;\-* #,##0\ [$€-407]_-;_-* &quot;-&quot;\ [$€-407]_-;_-@_-"/>
    <numFmt numFmtId="169" formatCode="#,##0\ _€"/>
    <numFmt numFmtId="170" formatCode="_-* #,##0\ _€_-;\-* #,##0\ _€_-;_-* &quot;-&quot;??\ _€_-;_-@_-"/>
    <numFmt numFmtId="171" formatCode="#,##0.0"/>
    <numFmt numFmtId="172" formatCode="#,##0_ ;\-#,##0\ "/>
    <numFmt numFmtId="173" formatCode="_-* #,##0\ &quot;€&quot;_-;\-* #,##0\ &quot;€&quot;_-;_-* &quot;-&quot;??\ &quot;€&quot;_-;_-@_-"/>
    <numFmt numFmtId="174" formatCode="&quot;Jahr&quot;\ 0"/>
    <numFmt numFmtId="175" formatCode="#,##0.00\ &quot;Servicepersonal&quot;"/>
    <numFmt numFmtId="176" formatCode="0,000\ &quot;Stk.&quot;"/>
  </numFmts>
  <fonts count="86" x14ac:knownFonts="1">
    <font>
      <sz val="11"/>
      <color theme="1"/>
      <name val="Calibri"/>
      <family val="2"/>
      <scheme val="minor"/>
    </font>
    <font>
      <sz val="11"/>
      <color theme="1"/>
      <name val="Arial"/>
      <family val="2"/>
    </font>
    <font>
      <i/>
      <sz val="11"/>
      <color theme="1"/>
      <name val="Arial"/>
      <family val="2"/>
    </font>
    <font>
      <b/>
      <sz val="11"/>
      <color theme="1"/>
      <name val="Arial"/>
      <family val="2"/>
    </font>
    <font>
      <sz val="10"/>
      <color theme="1"/>
      <name val="Arial"/>
      <family val="2"/>
    </font>
    <font>
      <sz val="9"/>
      <color theme="1"/>
      <name val="Arial"/>
      <family val="2"/>
    </font>
    <font>
      <b/>
      <i/>
      <sz val="11"/>
      <color theme="1"/>
      <name val="Arial"/>
      <family val="2"/>
    </font>
    <font>
      <vertAlign val="superscript"/>
      <sz val="10"/>
      <color theme="1"/>
      <name val="Arial"/>
      <family val="2"/>
    </font>
    <font>
      <i/>
      <sz val="9"/>
      <color theme="1"/>
      <name val="Arial"/>
      <family val="2"/>
    </font>
    <font>
      <b/>
      <sz val="11"/>
      <color rgb="FFFF0000"/>
      <name val="Arial"/>
      <family val="2"/>
    </font>
    <font>
      <i/>
      <sz val="11"/>
      <color rgb="FFFF0000"/>
      <name val="Arial"/>
      <family val="2"/>
    </font>
    <font>
      <b/>
      <u/>
      <sz val="11"/>
      <name val="Arial"/>
      <family val="2"/>
    </font>
    <font>
      <sz val="11"/>
      <name val="Arial"/>
      <family val="2"/>
    </font>
    <font>
      <sz val="11"/>
      <name val="Wingdings"/>
      <charset val="2"/>
    </font>
    <font>
      <b/>
      <sz val="14"/>
      <color theme="1"/>
      <name val="Arial"/>
      <family val="2"/>
    </font>
    <font>
      <b/>
      <sz val="11"/>
      <name val="Arial"/>
      <family val="2"/>
    </font>
    <font>
      <u/>
      <sz val="11"/>
      <name val="Arial"/>
      <family val="2"/>
    </font>
    <font>
      <sz val="11"/>
      <color rgb="FFFF0000"/>
      <name val="Arial"/>
      <family val="2"/>
    </font>
    <font>
      <sz val="9"/>
      <name val="Arial"/>
      <family val="2"/>
    </font>
    <font>
      <sz val="14"/>
      <color theme="1"/>
      <name val="Arial"/>
      <family val="2"/>
    </font>
    <font>
      <b/>
      <i/>
      <sz val="14"/>
      <color theme="1"/>
      <name val="Arial"/>
      <family val="2"/>
    </font>
    <font>
      <b/>
      <u val="double"/>
      <sz val="14"/>
      <color theme="1"/>
      <name val="Arial"/>
      <family val="2"/>
    </font>
    <font>
      <sz val="10"/>
      <name val="Arial"/>
      <family val="2"/>
    </font>
    <font>
      <sz val="9"/>
      <color rgb="FF000099"/>
      <name val="Arial"/>
      <family val="2"/>
    </font>
    <font>
      <sz val="12"/>
      <color rgb="FF000099"/>
      <name val="Arial"/>
      <family val="2"/>
    </font>
    <font>
      <b/>
      <sz val="12"/>
      <color rgb="FF000099"/>
      <name val="Arial"/>
      <family val="2"/>
    </font>
    <font>
      <sz val="12"/>
      <name val="Arial"/>
      <family val="2"/>
    </font>
    <font>
      <b/>
      <sz val="11"/>
      <color rgb="FF006600"/>
      <name val="Arial"/>
      <family val="2"/>
    </font>
    <font>
      <sz val="12"/>
      <color rgb="FF006600"/>
      <name val="Arial"/>
      <family val="2"/>
    </font>
    <font>
      <b/>
      <sz val="12"/>
      <color rgb="FF006600"/>
      <name val="Arial"/>
      <family val="2"/>
    </font>
    <font>
      <sz val="12"/>
      <color theme="1"/>
      <name val="Arial"/>
      <family val="2"/>
    </font>
    <font>
      <b/>
      <sz val="12"/>
      <color theme="1"/>
      <name val="Arial"/>
      <family val="2"/>
    </font>
    <font>
      <sz val="8"/>
      <color theme="1"/>
      <name val="Arial"/>
      <family val="2"/>
    </font>
    <font>
      <u/>
      <sz val="11"/>
      <color theme="10"/>
      <name val="Calibri"/>
      <family val="2"/>
      <scheme val="minor"/>
    </font>
    <font>
      <i/>
      <sz val="11"/>
      <name val="Arial"/>
      <family val="2"/>
    </font>
    <font>
      <b/>
      <sz val="12"/>
      <name val="Arial"/>
      <family val="2"/>
    </font>
    <font>
      <b/>
      <sz val="12"/>
      <color rgb="FFFF0000"/>
      <name val="Arial"/>
      <family val="2"/>
    </font>
    <font>
      <sz val="14"/>
      <name val="Arial"/>
      <family val="2"/>
    </font>
    <font>
      <b/>
      <sz val="9"/>
      <color indexed="81"/>
      <name val="Tahoma"/>
      <family val="2"/>
    </font>
    <font>
      <b/>
      <sz val="14"/>
      <color theme="0"/>
      <name val="Arial"/>
      <family val="2"/>
    </font>
    <font>
      <b/>
      <sz val="12"/>
      <color theme="0"/>
      <name val="Arial"/>
      <family val="2"/>
    </font>
    <font>
      <sz val="12"/>
      <color theme="0"/>
      <name val="Arial"/>
      <family val="2"/>
    </font>
    <font>
      <sz val="16"/>
      <color theme="1"/>
      <name val="Arial"/>
      <family val="2"/>
    </font>
    <font>
      <sz val="12"/>
      <color rgb="FFFF0000"/>
      <name val="Arial"/>
      <family val="2"/>
    </font>
    <font>
      <i/>
      <sz val="12"/>
      <color theme="1"/>
      <name val="Arial"/>
      <family val="2"/>
    </font>
    <font>
      <vertAlign val="superscript"/>
      <sz val="12"/>
      <color theme="1"/>
      <name val="Arial"/>
      <family val="2"/>
    </font>
    <font>
      <b/>
      <sz val="8"/>
      <color theme="1"/>
      <name val="Arial"/>
      <family val="2"/>
    </font>
    <font>
      <b/>
      <sz val="9"/>
      <color theme="1"/>
      <name val="Arial"/>
      <family val="2"/>
    </font>
    <font>
      <b/>
      <i/>
      <sz val="12"/>
      <color theme="1"/>
      <name val="Arial"/>
      <family val="2"/>
    </font>
    <font>
      <i/>
      <sz val="12"/>
      <name val="Arial"/>
      <family val="2"/>
    </font>
    <font>
      <strike/>
      <sz val="12"/>
      <color theme="1"/>
      <name val="Arial"/>
      <family val="2"/>
    </font>
    <font>
      <sz val="11"/>
      <color theme="1"/>
      <name val="Calibri"/>
      <family val="2"/>
      <scheme val="minor"/>
    </font>
    <font>
      <sz val="10"/>
      <color theme="0"/>
      <name val="Arial"/>
      <family val="2"/>
    </font>
    <font>
      <b/>
      <sz val="10"/>
      <name val="Arial"/>
      <family val="2"/>
    </font>
    <font>
      <b/>
      <sz val="11"/>
      <color theme="3"/>
      <name val="Calibri"/>
      <family val="2"/>
      <scheme val="minor"/>
    </font>
    <font>
      <sz val="8"/>
      <color indexed="81"/>
      <name val="Tahoma"/>
      <family val="2"/>
    </font>
    <font>
      <b/>
      <sz val="8"/>
      <color indexed="81"/>
      <name val="Tahoma"/>
      <family val="2"/>
    </font>
    <font>
      <b/>
      <sz val="11"/>
      <color theme="1"/>
      <name val="Calibri"/>
      <family val="2"/>
      <scheme val="minor"/>
    </font>
    <font>
      <b/>
      <sz val="9.5"/>
      <color theme="1"/>
      <name val="Arial"/>
      <family val="2"/>
    </font>
    <font>
      <b/>
      <sz val="9.5"/>
      <color rgb="FF000000"/>
      <name val="Arial"/>
      <family val="2"/>
    </font>
    <font>
      <b/>
      <vertAlign val="superscript"/>
      <sz val="9.5"/>
      <color rgb="FF000000"/>
      <name val="Times New Roman"/>
      <family val="1"/>
    </font>
    <font>
      <sz val="9.5"/>
      <color theme="1"/>
      <name val="Arial"/>
      <family val="2"/>
    </font>
    <font>
      <sz val="9.5"/>
      <color rgb="FF000000"/>
      <name val="Arial"/>
      <family val="2"/>
    </font>
    <font>
      <sz val="9.5"/>
      <color rgb="FFFF0000"/>
      <name val="Arial"/>
      <family val="2"/>
    </font>
    <font>
      <vertAlign val="superscript"/>
      <sz val="9.5"/>
      <color theme="1"/>
      <name val="Arial"/>
      <family val="2"/>
    </font>
    <font>
      <sz val="10"/>
      <color rgb="FF000000"/>
      <name val="Arial"/>
      <family val="2"/>
    </font>
    <font>
      <sz val="11"/>
      <color rgb="FF000000"/>
      <name val="Arial"/>
      <family val="2"/>
    </font>
    <font>
      <sz val="9"/>
      <color indexed="81"/>
      <name val="Tahoma"/>
      <family val="2"/>
    </font>
    <font>
      <b/>
      <sz val="12"/>
      <color theme="1"/>
      <name val="Calibri"/>
      <family val="2"/>
      <scheme val="minor"/>
    </font>
    <font>
      <sz val="12"/>
      <color theme="1"/>
      <name val="Calibri"/>
      <family val="2"/>
      <scheme val="minor"/>
    </font>
    <font>
      <b/>
      <sz val="11"/>
      <color theme="4"/>
      <name val="Calibri"/>
      <family val="2"/>
      <scheme val="minor"/>
    </font>
    <font>
      <b/>
      <sz val="11"/>
      <color theme="7"/>
      <name val="Calibri"/>
      <family val="2"/>
      <scheme val="minor"/>
    </font>
    <font>
      <sz val="11"/>
      <color theme="4"/>
      <name val="Calibri"/>
      <family val="2"/>
      <scheme val="minor"/>
    </font>
    <font>
      <sz val="11"/>
      <color theme="7"/>
      <name val="Calibri"/>
      <family val="2"/>
      <scheme val="minor"/>
    </font>
    <font>
      <i/>
      <sz val="14"/>
      <color theme="1"/>
      <name val="Arial"/>
      <family val="2"/>
    </font>
    <font>
      <i/>
      <u val="double"/>
      <sz val="14"/>
      <color theme="1"/>
      <name val="Arial"/>
      <family val="2"/>
    </font>
    <font>
      <b/>
      <sz val="14"/>
      <color theme="1"/>
      <name val="Calibri"/>
      <family val="2"/>
      <scheme val="minor"/>
    </font>
    <font>
      <sz val="11"/>
      <color rgb="FFFF0000"/>
      <name val="Calibri"/>
      <family val="2"/>
      <scheme val="minor"/>
    </font>
    <font>
      <b/>
      <sz val="20"/>
      <name val="Arial"/>
      <family val="2"/>
    </font>
    <font>
      <b/>
      <sz val="14"/>
      <name val="Arial"/>
      <family val="2"/>
    </font>
    <font>
      <i/>
      <sz val="10"/>
      <color theme="1"/>
      <name val="Arial"/>
      <family val="2"/>
    </font>
    <font>
      <b/>
      <sz val="11"/>
      <color rgb="FF000000"/>
      <name val="Arial"/>
      <family val="2"/>
    </font>
    <font>
      <b/>
      <sz val="10"/>
      <color theme="1"/>
      <name val="Arial"/>
      <family val="2"/>
    </font>
    <font>
      <b/>
      <u/>
      <sz val="14"/>
      <name val="Arial"/>
      <family val="2"/>
    </font>
    <font>
      <i/>
      <sz val="11"/>
      <color theme="1"/>
      <name val="Calibri"/>
      <family val="2"/>
      <scheme val="minor"/>
    </font>
    <font>
      <b/>
      <sz val="16"/>
      <color theme="1"/>
      <name val="Arial"/>
      <family val="2"/>
    </font>
  </fonts>
  <fills count="23">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theme="6" tint="0.59999389629810485"/>
        <bgColor indexed="65"/>
      </patternFill>
    </fill>
    <fill>
      <patternFill patternType="solid">
        <fgColor theme="6"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00B050"/>
        <bgColor indexed="64"/>
      </patternFill>
    </fill>
    <fill>
      <patternFill patternType="solid">
        <fgColor theme="0" tint="-0.249977111117893"/>
        <bgColor indexed="64"/>
      </patternFill>
    </fill>
    <fill>
      <patternFill patternType="solid">
        <fgColor rgb="FF99FF99"/>
        <bgColor indexed="64"/>
      </patternFill>
    </fill>
    <fill>
      <patternFill patternType="solid">
        <fgColor rgb="FFFF9966"/>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bottom style="double">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ck">
        <color rgb="FFFF0000"/>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ck">
        <color rgb="FFFF0000"/>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
      <left style="thin">
        <color indexed="64"/>
      </left>
      <right style="medium">
        <color indexed="64"/>
      </right>
      <top style="medium">
        <color indexed="64"/>
      </top>
      <bottom/>
      <diagonal/>
    </border>
    <border>
      <left style="medium">
        <color indexed="64"/>
      </left>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medium">
        <color indexed="64"/>
      </top>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diagonal/>
    </border>
    <border>
      <left style="medium">
        <color indexed="64"/>
      </left>
      <right style="medium">
        <color rgb="FFFF0000"/>
      </right>
      <top style="medium">
        <color indexed="64"/>
      </top>
      <bottom/>
      <diagonal/>
    </border>
    <border>
      <left style="medium">
        <color indexed="64"/>
      </left>
      <right style="medium">
        <color rgb="FFFF0000"/>
      </right>
      <top/>
      <bottom/>
      <diagonal/>
    </border>
    <border>
      <left style="medium">
        <color indexed="64"/>
      </left>
      <right style="medium">
        <color rgb="FFFF0000"/>
      </right>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medium">
        <color indexed="64"/>
      </right>
      <top/>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ck">
        <color rgb="FFFF0000"/>
      </right>
      <top/>
      <bottom style="thin">
        <color rgb="FFFF0000"/>
      </bottom>
      <diagonal/>
    </border>
    <border>
      <left/>
      <right/>
      <top/>
      <bottom style="thin">
        <color rgb="FFFF0000"/>
      </bottom>
      <diagonal/>
    </border>
    <border>
      <left style="thick">
        <color rgb="FFFF0000"/>
      </left>
      <right/>
      <top/>
      <bottom/>
      <diagonal/>
    </border>
    <border>
      <left/>
      <right style="thick">
        <color rgb="FFFF0000"/>
      </right>
      <top/>
      <bottom/>
      <diagonal/>
    </border>
    <border>
      <left/>
      <right style="thick">
        <color rgb="FFFF0000"/>
      </right>
      <top style="thick">
        <color rgb="FFFF0000"/>
      </top>
      <bottom style="medium">
        <color rgb="FFFF0000"/>
      </bottom>
      <diagonal/>
    </border>
    <border>
      <left/>
      <right style="thick">
        <color rgb="FFFF0000"/>
      </right>
      <top/>
      <bottom style="medium">
        <color rgb="FFFF0000"/>
      </bottom>
      <diagonal/>
    </border>
    <border>
      <left style="thick">
        <color rgb="FFFF0000"/>
      </left>
      <right/>
      <top style="thick">
        <color rgb="FFFF0000"/>
      </top>
      <bottom style="medium">
        <color rgb="FFFF0000"/>
      </bottom>
      <diagonal/>
    </border>
    <border>
      <left style="thick">
        <color rgb="FFFF0000"/>
      </left>
      <right/>
      <top style="medium">
        <color rgb="FFFF0000"/>
      </top>
      <bottom style="medium">
        <color rgb="FFFF0000"/>
      </bottom>
      <diagonal/>
    </border>
    <border>
      <left/>
      <right style="thick">
        <color rgb="FFFF0000"/>
      </right>
      <top style="medium">
        <color rgb="FFFF0000"/>
      </top>
      <bottom style="medium">
        <color rgb="FFFF0000"/>
      </bottom>
      <diagonal/>
    </border>
    <border>
      <left style="thick">
        <color rgb="FFFF0000"/>
      </left>
      <right/>
      <top style="medium">
        <color rgb="FFFF0000"/>
      </top>
      <bottom style="thick">
        <color rgb="FFFF0000"/>
      </bottom>
      <diagonal/>
    </border>
    <border>
      <left/>
      <right style="thick">
        <color rgb="FFFF0000"/>
      </right>
      <top style="medium">
        <color rgb="FFFF0000"/>
      </top>
      <bottom style="thick">
        <color rgb="FFFF0000"/>
      </bottom>
      <diagonal/>
    </border>
    <border>
      <left style="thick">
        <color rgb="FFFF0000"/>
      </left>
      <right/>
      <top/>
      <bottom style="medium">
        <color rgb="FFFF0000"/>
      </bottom>
      <diagonal/>
    </border>
    <border>
      <left style="thick">
        <color rgb="FFFF0000"/>
      </left>
      <right/>
      <top style="medium">
        <color rgb="FFFF0000"/>
      </top>
      <bottom style="thin">
        <color rgb="FFFF0000"/>
      </bottom>
      <diagonal/>
    </border>
    <border>
      <left/>
      <right style="thick">
        <color rgb="FFFF0000"/>
      </right>
      <top style="medium">
        <color rgb="FFFF0000"/>
      </top>
      <bottom style="thin">
        <color rgb="FFFF0000"/>
      </bottom>
      <diagonal/>
    </border>
  </borders>
  <cellStyleXfs count="7">
    <xf numFmtId="0" fontId="0" fillId="0" borderId="0"/>
    <xf numFmtId="0" fontId="33" fillId="0" borderId="0" applyNumberFormat="0" applyFill="0" applyBorder="0" applyAlignment="0" applyProtection="0"/>
    <xf numFmtId="0" fontId="51" fillId="8" borderId="0" applyNumberFormat="0" applyBorder="0" applyAlignment="0" applyProtection="0"/>
    <xf numFmtId="0" fontId="54" fillId="0" borderId="0" applyNumberFormat="0" applyFill="0" applyBorder="0" applyAlignment="0" applyProtection="0"/>
    <xf numFmtId="43" fontId="51" fillId="0" borderId="0" applyFont="0" applyFill="0" applyBorder="0" applyAlignment="0" applyProtection="0"/>
    <xf numFmtId="9" fontId="51" fillId="0" borderId="0" applyFont="0" applyFill="0" applyBorder="0" applyAlignment="0" applyProtection="0"/>
    <xf numFmtId="44" fontId="51" fillId="0" borderId="0" applyFont="0" applyFill="0" applyBorder="0" applyAlignment="0" applyProtection="0"/>
  </cellStyleXfs>
  <cellXfs count="1259">
    <xf numFmtId="0" fontId="0" fillId="0" borderId="0" xfId="0"/>
    <xf numFmtId="0" fontId="1" fillId="0" borderId="0" xfId="0" applyFont="1"/>
    <xf numFmtId="0" fontId="1" fillId="0" borderId="0" xfId="0" applyFont="1" applyAlignment="1">
      <alignment horizontal="center"/>
    </xf>
    <xf numFmtId="0" fontId="1" fillId="0" borderId="0" xfId="0" applyFont="1" applyFill="1" applyBorder="1" applyAlignment="1">
      <alignment vertical="center" wrapText="1"/>
    </xf>
    <xf numFmtId="169" fontId="1" fillId="0" borderId="0" xfId="0" applyNumberFormat="1" applyFont="1" applyAlignment="1">
      <alignment horizontal="center"/>
    </xf>
    <xf numFmtId="0" fontId="1" fillId="0" borderId="10" xfId="0" applyFont="1" applyBorder="1" applyAlignment="1">
      <alignment vertical="center" wrapText="1"/>
    </xf>
    <xf numFmtId="0" fontId="1" fillId="0" borderId="12" xfId="0" applyFont="1" applyBorder="1" applyAlignment="1">
      <alignment vertical="center" wrapText="1"/>
    </xf>
    <xf numFmtId="0" fontId="1" fillId="0" borderId="14" xfId="0" applyFont="1" applyBorder="1" applyAlignment="1">
      <alignment vertical="center" wrapText="1"/>
    </xf>
    <xf numFmtId="3" fontId="1" fillId="0" borderId="0" xfId="0" applyNumberFormat="1" applyFont="1" applyFill="1" applyBorder="1" applyAlignment="1">
      <alignment vertical="center"/>
    </xf>
    <xf numFmtId="169" fontId="31" fillId="0" borderId="0" xfId="0" applyNumberFormat="1" applyFont="1" applyFill="1" applyBorder="1" applyAlignment="1"/>
    <xf numFmtId="169" fontId="3" fillId="0" borderId="0" xfId="0" applyNumberFormat="1" applyFont="1" applyFill="1" applyBorder="1" applyAlignment="1"/>
    <xf numFmtId="0" fontId="12" fillId="0" borderId="10" xfId="0" applyFont="1" applyFill="1" applyBorder="1" applyAlignment="1">
      <alignment vertical="center" wrapText="1"/>
    </xf>
    <xf numFmtId="0" fontId="12" fillId="0" borderId="14" xfId="0" applyFont="1" applyFill="1" applyBorder="1" applyAlignment="1">
      <alignment vertical="center" wrapText="1"/>
    </xf>
    <xf numFmtId="0" fontId="3" fillId="0" borderId="46" xfId="0" applyFont="1" applyBorder="1" applyAlignment="1">
      <alignment vertical="center" wrapText="1"/>
    </xf>
    <xf numFmtId="0" fontId="3" fillId="0" borderId="40" xfId="0" applyFont="1" applyBorder="1" applyAlignment="1">
      <alignment vertical="center" wrapText="1"/>
    </xf>
    <xf numFmtId="0" fontId="3" fillId="0" borderId="0" xfId="0" applyFont="1"/>
    <xf numFmtId="0" fontId="3" fillId="0" borderId="8" xfId="0" applyFont="1" applyBorder="1" applyAlignment="1">
      <alignment vertical="center"/>
    </xf>
    <xf numFmtId="169" fontId="3" fillId="0" borderId="19" xfId="0" applyNumberFormat="1" applyFont="1" applyBorder="1" applyAlignment="1">
      <alignment horizontal="center" vertical="center" wrapText="1"/>
    </xf>
    <xf numFmtId="0" fontId="1" fillId="0" borderId="12" xfId="0" applyFont="1" applyBorder="1"/>
    <xf numFmtId="169" fontId="1" fillId="0" borderId="13" xfId="0" applyNumberFormat="1" applyFont="1" applyBorder="1" applyAlignment="1">
      <alignment horizontal="center"/>
    </xf>
    <xf numFmtId="0" fontId="1" fillId="0" borderId="12" xfId="0" applyFont="1" applyBorder="1" applyAlignment="1">
      <alignment wrapText="1"/>
    </xf>
    <xf numFmtId="0" fontId="1" fillId="0" borderId="13" xfId="0" applyFont="1" applyBorder="1" applyAlignment="1">
      <alignment horizontal="center"/>
    </xf>
    <xf numFmtId="0" fontId="1" fillId="0" borderId="14" xfId="0" applyFont="1" applyBorder="1"/>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169" fontId="3" fillId="0" borderId="18" xfId="0" applyNumberFormat="1" applyFont="1" applyBorder="1" applyAlignment="1">
      <alignment horizontal="center" wrapText="1"/>
    </xf>
    <xf numFmtId="0" fontId="3" fillId="0" borderId="62" xfId="0" applyFont="1" applyBorder="1" applyAlignment="1">
      <alignment vertical="center" wrapText="1"/>
    </xf>
    <xf numFmtId="169" fontId="1" fillId="0" borderId="0" xfId="0" applyNumberFormat="1" applyFont="1" applyBorder="1" applyAlignment="1">
      <alignment horizontal="center"/>
    </xf>
    <xf numFmtId="0" fontId="1" fillId="0" borderId="0" xfId="0" applyFont="1" applyBorder="1" applyAlignment="1">
      <alignment horizontal="center"/>
    </xf>
    <xf numFmtId="0" fontId="31" fillId="0" borderId="17" xfId="0" applyFont="1" applyBorder="1" applyAlignment="1">
      <alignment horizontal="center"/>
    </xf>
    <xf numFmtId="169" fontId="3" fillId="0" borderId="18" xfId="0" applyNumberFormat="1" applyFont="1" applyBorder="1" applyAlignment="1">
      <alignment horizontal="center" vertical="center" wrapText="1"/>
    </xf>
    <xf numFmtId="0" fontId="1" fillId="0" borderId="0" xfId="0" applyFont="1" applyAlignment="1">
      <alignment vertical="center"/>
    </xf>
    <xf numFmtId="9" fontId="21" fillId="0" borderId="36" xfId="5" applyFont="1" applyFill="1" applyBorder="1" applyAlignment="1" applyProtection="1">
      <alignment horizontal="center" vertical="center"/>
    </xf>
    <xf numFmtId="4" fontId="21" fillId="0" borderId="36" xfId="0" applyNumberFormat="1" applyFont="1" applyFill="1" applyBorder="1" applyAlignment="1" applyProtection="1">
      <alignment horizontal="center" vertical="center"/>
    </xf>
    <xf numFmtId="0" fontId="1" fillId="0" borderId="14" xfId="0" applyFont="1" applyBorder="1" applyAlignment="1">
      <alignment horizontal="left"/>
    </xf>
    <xf numFmtId="0" fontId="1" fillId="0" borderId="0" xfId="0" applyFont="1" applyFill="1" applyBorder="1" applyAlignment="1">
      <alignment horizontal="center"/>
    </xf>
    <xf numFmtId="0" fontId="31" fillId="0" borderId="32" xfId="0" applyFont="1" applyBorder="1" applyAlignment="1"/>
    <xf numFmtId="0" fontId="31" fillId="0" borderId="34" xfId="0" applyFont="1" applyBorder="1" applyAlignment="1"/>
    <xf numFmtId="169" fontId="1" fillId="0" borderId="3" xfId="0" applyNumberFormat="1" applyFont="1" applyBorder="1" applyAlignment="1">
      <alignment horizontal="center"/>
    </xf>
    <xf numFmtId="169" fontId="3" fillId="0" borderId="27" xfId="0" applyNumberFormat="1" applyFont="1" applyBorder="1" applyAlignment="1">
      <alignment horizontal="center" vertical="center" wrapText="1"/>
    </xf>
    <xf numFmtId="0" fontId="1" fillId="0" borderId="35" xfId="0" applyFont="1" applyBorder="1"/>
    <xf numFmtId="0" fontId="12" fillId="0" borderId="47" xfId="0" applyFont="1" applyFill="1" applyBorder="1" applyAlignment="1">
      <alignment vertical="center" wrapText="1"/>
    </xf>
    <xf numFmtId="0" fontId="1" fillId="0" borderId="1" xfId="0" applyFont="1" applyFill="1" applyBorder="1" applyAlignment="1">
      <alignment horizontal="center"/>
    </xf>
    <xf numFmtId="169" fontId="12" fillId="0" borderId="4" xfId="0" applyNumberFormat="1" applyFont="1" applyFill="1" applyBorder="1" applyAlignment="1">
      <alignment horizontal="center" vertical="center"/>
    </xf>
    <xf numFmtId="169" fontId="12" fillId="0" borderId="29" xfId="0" applyNumberFormat="1" applyFont="1" applyFill="1" applyBorder="1" applyAlignment="1">
      <alignment horizontal="center" vertical="center"/>
    </xf>
    <xf numFmtId="0" fontId="3" fillId="0" borderId="6" xfId="0" applyFont="1" applyBorder="1" applyAlignment="1">
      <alignment wrapText="1"/>
    </xf>
    <xf numFmtId="169" fontId="3" fillId="0" borderId="7" xfId="0" applyNumberFormat="1" applyFont="1" applyBorder="1" applyAlignment="1">
      <alignment horizontal="center"/>
    </xf>
    <xf numFmtId="169" fontId="3" fillId="0" borderId="49" xfId="0" applyNumberFormat="1" applyFont="1" applyFill="1" applyBorder="1" applyAlignment="1">
      <alignment horizontal="center"/>
    </xf>
    <xf numFmtId="169" fontId="1" fillId="0" borderId="29" xfId="0" applyNumberFormat="1" applyFont="1" applyBorder="1" applyAlignment="1">
      <alignment horizontal="center"/>
    </xf>
    <xf numFmtId="169" fontId="1" fillId="0" borderId="15" xfId="0" applyNumberFormat="1" applyFont="1" applyBorder="1" applyAlignment="1">
      <alignment horizontal="center"/>
    </xf>
    <xf numFmtId="9" fontId="21" fillId="0" borderId="32" xfId="5" applyFont="1" applyFill="1" applyBorder="1" applyAlignment="1" applyProtection="1">
      <alignment horizontal="center" vertical="center"/>
    </xf>
    <xf numFmtId="9" fontId="21" fillId="0" borderId="62" xfId="5" applyFont="1" applyFill="1" applyBorder="1" applyAlignment="1" applyProtection="1">
      <alignment horizontal="center" vertical="center"/>
    </xf>
    <xf numFmtId="4" fontId="21" fillId="0" borderId="32" xfId="0" applyNumberFormat="1" applyFont="1" applyFill="1" applyBorder="1" applyAlignment="1" applyProtection="1">
      <alignment horizontal="center" vertical="center"/>
    </xf>
    <xf numFmtId="4" fontId="21" fillId="0" borderId="62" xfId="0" applyNumberFormat="1" applyFont="1" applyFill="1" applyBorder="1" applyAlignment="1" applyProtection="1">
      <alignment horizontal="center" vertical="center"/>
    </xf>
    <xf numFmtId="0" fontId="3" fillId="0" borderId="20" xfId="0" applyFont="1" applyFill="1" applyBorder="1" applyAlignment="1">
      <alignment horizontal="center"/>
    </xf>
    <xf numFmtId="169" fontId="1" fillId="0" borderId="20" xfId="0" applyNumberFormat="1" applyFont="1" applyBorder="1" applyAlignment="1">
      <alignment horizontal="center"/>
    </xf>
    <xf numFmtId="169" fontId="3" fillId="0" borderId="20" xfId="0" applyNumberFormat="1" applyFont="1" applyBorder="1" applyAlignment="1">
      <alignment horizontal="center"/>
    </xf>
    <xf numFmtId="169" fontId="3" fillId="0" borderId="15" xfId="0" applyNumberFormat="1" applyFont="1" applyBorder="1" applyAlignment="1">
      <alignment horizontal="center"/>
    </xf>
    <xf numFmtId="169" fontId="3" fillId="0" borderId="0" xfId="0" applyNumberFormat="1" applyFont="1" applyBorder="1" applyAlignment="1">
      <alignment horizontal="center"/>
    </xf>
    <xf numFmtId="169" fontId="3" fillId="0" borderId="0" xfId="0" applyNumberFormat="1" applyFont="1" applyFill="1" applyBorder="1" applyAlignment="1">
      <alignment horizontal="center"/>
    </xf>
    <xf numFmtId="3" fontId="1" fillId="0" borderId="1" xfId="0" applyNumberFormat="1" applyFont="1" applyFill="1" applyBorder="1" applyAlignment="1">
      <alignment horizontal="center"/>
    </xf>
    <xf numFmtId="3" fontId="1" fillId="0" borderId="21" xfId="0" applyNumberFormat="1" applyFont="1" applyFill="1" applyBorder="1" applyAlignment="1">
      <alignment horizontal="center"/>
    </xf>
    <xf numFmtId="169" fontId="3" fillId="0" borderId="48" xfId="0" applyNumberFormat="1" applyFont="1" applyFill="1" applyBorder="1" applyAlignment="1">
      <alignment vertical="center" wrapText="1"/>
    </xf>
    <xf numFmtId="0" fontId="1" fillId="0" borderId="14" xfId="0" applyFont="1" applyBorder="1" applyAlignment="1">
      <alignment wrapText="1"/>
    </xf>
    <xf numFmtId="171" fontId="1" fillId="0" borderId="20" xfId="0" applyNumberFormat="1" applyFont="1" applyFill="1" applyBorder="1" applyAlignment="1">
      <alignment horizontal="center"/>
    </xf>
    <xf numFmtId="169" fontId="3" fillId="0" borderId="1" xfId="0" applyNumberFormat="1" applyFont="1" applyFill="1" applyBorder="1" applyAlignment="1">
      <alignment vertical="center" wrapText="1"/>
    </xf>
    <xf numFmtId="3" fontId="1" fillId="0" borderId="20" xfId="0" applyNumberFormat="1" applyFont="1" applyFill="1" applyBorder="1" applyAlignment="1">
      <alignment horizontal="center" vertical="center"/>
    </xf>
    <xf numFmtId="0" fontId="1" fillId="0" borderId="0" xfId="0" applyFont="1" applyBorder="1"/>
    <xf numFmtId="0" fontId="65" fillId="0" borderId="0" xfId="0" applyFont="1" applyAlignment="1">
      <alignment vertical="center"/>
    </xf>
    <xf numFmtId="0" fontId="66" fillId="0" borderId="12" xfId="0" applyFont="1" applyBorder="1" applyAlignment="1">
      <alignment vertical="center"/>
    </xf>
    <xf numFmtId="0" fontId="66" fillId="0" borderId="14" xfId="0" applyFont="1" applyBorder="1" applyAlignment="1">
      <alignment vertical="center"/>
    </xf>
    <xf numFmtId="0" fontId="3" fillId="0" borderId="17" xfId="0" applyFont="1" applyBorder="1" applyAlignment="1">
      <alignment vertical="center" wrapText="1"/>
    </xf>
    <xf numFmtId="0" fontId="3" fillId="0" borderId="14" xfId="0" applyFont="1" applyBorder="1" applyAlignment="1">
      <alignment vertical="center" wrapText="1"/>
    </xf>
    <xf numFmtId="0" fontId="3" fillId="0" borderId="70" xfId="0" applyFont="1" applyBorder="1" applyAlignment="1">
      <alignment vertical="center" wrapText="1"/>
    </xf>
    <xf numFmtId="0" fontId="3" fillId="0" borderId="19" xfId="0" applyFont="1" applyBorder="1" applyAlignment="1">
      <alignment vertical="center" wrapText="1"/>
    </xf>
    <xf numFmtId="169" fontId="1" fillId="0" borderId="0" xfId="0" applyNumberFormat="1" applyFont="1" applyAlignment="1">
      <alignment horizontal="left"/>
    </xf>
    <xf numFmtId="169" fontId="31" fillId="0" borderId="0" xfId="0" applyNumberFormat="1" applyFont="1" applyBorder="1" applyAlignment="1"/>
    <xf numFmtId="169" fontId="31" fillId="0" borderId="6" xfId="0" applyNumberFormat="1" applyFont="1" applyBorder="1" applyAlignment="1"/>
    <xf numFmtId="169" fontId="1" fillId="0" borderId="0" xfId="0" applyNumberFormat="1" applyFont="1" applyBorder="1" applyAlignment="1"/>
    <xf numFmtId="169" fontId="1" fillId="0" borderId="6" xfId="0" applyNumberFormat="1" applyFont="1" applyFill="1" applyBorder="1" applyAlignment="1"/>
    <xf numFmtId="169" fontId="1" fillId="0" borderId="0" xfId="0" applyNumberFormat="1" applyFont="1" applyFill="1" applyBorder="1" applyAlignment="1"/>
    <xf numFmtId="0" fontId="66" fillId="0" borderId="10" xfId="0" applyFont="1" applyFill="1" applyBorder="1" applyAlignment="1">
      <alignment vertical="center"/>
    </xf>
    <xf numFmtId="0" fontId="66" fillId="0" borderId="14" xfId="0" applyFont="1" applyFill="1" applyBorder="1" applyAlignment="1">
      <alignment vertical="center"/>
    </xf>
    <xf numFmtId="0" fontId="3" fillId="0" borderId="19" xfId="0" applyFont="1" applyFill="1" applyBorder="1" applyAlignment="1">
      <alignment horizontal="center" vertical="center"/>
    </xf>
    <xf numFmtId="0" fontId="31" fillId="0" borderId="17" xfId="0" applyFont="1" applyFill="1" applyBorder="1" applyAlignment="1">
      <alignment horizontal="center"/>
    </xf>
    <xf numFmtId="0" fontId="66" fillId="0" borderId="12" xfId="0" applyFont="1" applyFill="1" applyBorder="1" applyAlignment="1">
      <alignment vertical="center"/>
    </xf>
    <xf numFmtId="42" fontId="1" fillId="0" borderId="19" xfId="0" applyNumberFormat="1" applyFont="1" applyFill="1" applyBorder="1" applyAlignment="1">
      <alignment horizontal="center"/>
    </xf>
    <xf numFmtId="42" fontId="1" fillId="0" borderId="15" xfId="0" applyNumberFormat="1" applyFont="1" applyFill="1" applyBorder="1" applyAlignment="1">
      <alignment horizontal="center"/>
    </xf>
    <xf numFmtId="0" fontId="3" fillId="0" borderId="17" xfId="0" applyFont="1" applyBorder="1" applyAlignment="1">
      <alignment horizontal="left" vertical="center"/>
    </xf>
    <xf numFmtId="0" fontId="3" fillId="0" borderId="8" xfId="0" applyFont="1" applyBorder="1" applyAlignment="1">
      <alignment vertical="center" wrapText="1"/>
    </xf>
    <xf numFmtId="169" fontId="80" fillId="5" borderId="30" xfId="0" applyNumberFormat="1" applyFont="1" applyFill="1" applyBorder="1" applyAlignment="1">
      <alignment horizontal="left"/>
    </xf>
    <xf numFmtId="169" fontId="80" fillId="5" borderId="16" xfId="0" applyNumberFormat="1" applyFont="1" applyFill="1" applyBorder="1" applyAlignment="1">
      <alignment horizontal="center"/>
    </xf>
    <xf numFmtId="0" fontId="80" fillId="5" borderId="16" xfId="0" applyFont="1" applyFill="1" applyBorder="1" applyAlignment="1">
      <alignment horizontal="center"/>
    </xf>
    <xf numFmtId="0" fontId="80" fillId="5" borderId="16" xfId="0" applyFont="1" applyFill="1" applyBorder="1"/>
    <xf numFmtId="0" fontId="4" fillId="5" borderId="45" xfId="0" applyFont="1" applyFill="1" applyBorder="1"/>
    <xf numFmtId="169" fontId="4" fillId="5" borderId="16" xfId="0" applyNumberFormat="1" applyFont="1" applyFill="1" applyBorder="1" applyAlignment="1">
      <alignment horizontal="center"/>
    </xf>
    <xf numFmtId="0" fontId="4" fillId="5" borderId="16" xfId="0" applyFont="1" applyFill="1" applyBorder="1" applyAlignment="1">
      <alignment horizontal="center"/>
    </xf>
    <xf numFmtId="0" fontId="4" fillId="5" borderId="16" xfId="0" applyFont="1" applyFill="1" applyBorder="1"/>
    <xf numFmtId="0" fontId="1" fillId="0" borderId="30" xfId="0" applyFont="1" applyBorder="1"/>
    <xf numFmtId="0" fontId="1" fillId="0" borderId="67" xfId="0" applyFont="1" applyBorder="1"/>
    <xf numFmtId="0" fontId="3" fillId="0" borderId="19" xfId="0" applyFont="1" applyBorder="1" applyAlignment="1">
      <alignment horizontal="center" vertical="center" wrapText="1"/>
    </xf>
    <xf numFmtId="0" fontId="3" fillId="0" borderId="17" xfId="0" applyFont="1" applyBorder="1" applyAlignment="1">
      <alignment horizontal="left" vertical="center" wrapText="1"/>
    </xf>
    <xf numFmtId="0" fontId="31" fillId="0" borderId="8" xfId="0" applyFont="1" applyBorder="1" applyAlignment="1">
      <alignment vertical="center"/>
    </xf>
    <xf numFmtId="0" fontId="1" fillId="0" borderId="64"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3" fontId="1" fillId="0" borderId="3" xfId="0" applyNumberFormat="1" applyFont="1" applyFill="1" applyBorder="1" applyAlignment="1">
      <alignment horizontal="center" vertical="center" wrapText="1"/>
    </xf>
    <xf numFmtId="3" fontId="1" fillId="0" borderId="29" xfId="0" applyNumberFormat="1" applyFont="1" applyFill="1" applyBorder="1" applyAlignment="1">
      <alignment horizontal="center" vertical="center" wrapText="1"/>
    </xf>
    <xf numFmtId="169" fontId="1" fillId="0" borderId="62" xfId="0" applyNumberFormat="1" applyFont="1" applyFill="1" applyBorder="1" applyAlignment="1">
      <alignment horizontal="center" vertical="center"/>
    </xf>
    <xf numFmtId="169" fontId="1" fillId="0" borderId="66" xfId="0" applyNumberFormat="1" applyFont="1" applyFill="1" applyBorder="1" applyAlignment="1">
      <alignment horizontal="center" vertical="center"/>
    </xf>
    <xf numFmtId="0" fontId="3" fillId="0" borderId="9" xfId="0" applyFont="1" applyBorder="1" applyAlignment="1">
      <alignment vertical="center" wrapText="1"/>
    </xf>
    <xf numFmtId="0" fontId="31" fillId="0" borderId="17" xfId="0" applyFont="1" applyBorder="1" applyAlignment="1">
      <alignment horizontal="left"/>
    </xf>
    <xf numFmtId="0" fontId="66" fillId="0" borderId="35" xfId="0" applyFont="1" applyBorder="1" applyAlignment="1">
      <alignment vertical="center"/>
    </xf>
    <xf numFmtId="0" fontId="81" fillId="0" borderId="17" xfId="0" applyFont="1" applyBorder="1" applyAlignment="1">
      <alignment vertical="center"/>
    </xf>
    <xf numFmtId="0" fontId="3" fillId="0" borderId="19" xfId="0" applyFont="1" applyFill="1" applyBorder="1" applyAlignment="1">
      <alignment horizontal="center"/>
    </xf>
    <xf numFmtId="166" fontId="1" fillId="0" borderId="15" xfId="0" applyNumberFormat="1" applyFont="1" applyFill="1" applyBorder="1" applyAlignment="1">
      <alignment horizontal="center"/>
    </xf>
    <xf numFmtId="0" fontId="0" fillId="0" borderId="0" xfId="0"/>
    <xf numFmtId="10" fontId="1" fillId="0" borderId="13" xfId="0" applyNumberFormat="1" applyFont="1" applyFill="1" applyBorder="1" applyAlignment="1">
      <alignment horizontal="center"/>
    </xf>
    <xf numFmtId="169" fontId="1" fillId="0" borderId="83" xfId="0" applyNumberFormat="1" applyFont="1" applyFill="1" applyBorder="1" applyAlignment="1">
      <alignment horizontal="center" vertical="center"/>
    </xf>
    <xf numFmtId="3" fontId="1" fillId="5" borderId="21" xfId="0" applyNumberFormat="1" applyFont="1" applyFill="1" applyBorder="1" applyAlignment="1">
      <alignment horizontal="center"/>
    </xf>
    <xf numFmtId="0" fontId="31" fillId="0" borderId="9" xfId="0" applyFont="1" applyBorder="1" applyAlignment="1">
      <alignment vertical="center"/>
    </xf>
    <xf numFmtId="0" fontId="1" fillId="0" borderId="82" xfId="0" applyFont="1" applyFill="1" applyBorder="1" applyAlignment="1">
      <alignment horizontal="left" vertical="center" wrapText="1"/>
    </xf>
    <xf numFmtId="0" fontId="3" fillId="0" borderId="32" xfId="0" applyFont="1" applyBorder="1" applyAlignment="1">
      <alignment horizontal="left" vertical="center" wrapText="1"/>
    </xf>
    <xf numFmtId="0" fontId="3" fillId="0" borderId="34" xfId="0" applyFont="1" applyBorder="1" applyAlignment="1">
      <alignment horizontal="left" vertical="center" wrapText="1"/>
    </xf>
    <xf numFmtId="10" fontId="1" fillId="0" borderId="15" xfId="0" applyNumberFormat="1" applyFont="1" applyFill="1" applyBorder="1" applyAlignment="1">
      <alignment horizontal="center"/>
    </xf>
    <xf numFmtId="0" fontId="31" fillId="0" borderId="64" xfId="0" applyFont="1" applyBorder="1" applyAlignment="1"/>
    <xf numFmtId="169" fontId="3" fillId="0" borderId="18" xfId="0" applyNumberFormat="1" applyFont="1" applyFill="1" applyBorder="1" applyAlignment="1">
      <alignment vertical="center" wrapText="1"/>
    </xf>
    <xf numFmtId="169" fontId="3" fillId="0" borderId="21" xfId="0" applyNumberFormat="1" applyFont="1" applyFill="1" applyBorder="1" applyAlignment="1">
      <alignment vertical="center" wrapText="1"/>
    </xf>
    <xf numFmtId="169" fontId="3" fillId="0" borderId="18" xfId="0" applyNumberFormat="1" applyFont="1" applyFill="1" applyBorder="1" applyAlignment="1">
      <alignment horizontal="center" vertical="center" wrapText="1"/>
    </xf>
    <xf numFmtId="169" fontId="1" fillId="0" borderId="1" xfId="0" applyNumberFormat="1" applyFont="1" applyBorder="1" applyAlignment="1">
      <alignment horizont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169" fontId="80" fillId="5" borderId="3" xfId="0" applyNumberFormat="1" applyFont="1" applyFill="1" applyBorder="1" applyAlignment="1">
      <alignment horizontal="left"/>
    </xf>
    <xf numFmtId="169" fontId="80" fillId="5" borderId="16" xfId="0" applyNumberFormat="1" applyFont="1" applyFill="1" applyBorder="1" applyAlignment="1">
      <alignment horizontal="left"/>
    </xf>
    <xf numFmtId="169" fontId="80" fillId="5" borderId="45" xfId="0" applyNumberFormat="1" applyFont="1" applyFill="1" applyBorder="1" applyAlignment="1">
      <alignment horizontal="left"/>
    </xf>
    <xf numFmtId="0" fontId="4" fillId="5" borderId="55" xfId="0" applyFont="1" applyFill="1" applyBorder="1"/>
    <xf numFmtId="0" fontId="1" fillId="0" borderId="0" xfId="0" applyFont="1" applyProtection="1"/>
    <xf numFmtId="0" fontId="31" fillId="0" borderId="32" xfId="0" applyFont="1" applyBorder="1" applyAlignment="1" applyProtection="1">
      <alignment vertical="center"/>
    </xf>
    <xf numFmtId="0" fontId="31" fillId="0" borderId="34" xfId="0" applyFont="1" applyBorder="1" applyAlignment="1" applyProtection="1"/>
    <xf numFmtId="0" fontId="3" fillId="0" borderId="32"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66" xfId="0" applyFont="1" applyBorder="1" applyAlignment="1" applyProtection="1">
      <alignment horizontal="center" vertical="center" wrapText="1"/>
    </xf>
    <xf numFmtId="0" fontId="31" fillId="0" borderId="0" xfId="0" applyFont="1" applyBorder="1" applyAlignment="1" applyProtection="1"/>
    <xf numFmtId="0" fontId="3" fillId="0" borderId="0" xfId="0" applyFont="1" applyAlignment="1" applyProtection="1">
      <alignment horizontal="center" vertical="center"/>
    </xf>
    <xf numFmtId="0" fontId="3" fillId="0" borderId="62" xfId="0" applyFont="1" applyBorder="1" applyAlignment="1" applyProtection="1">
      <alignment horizontal="left" vertical="center"/>
    </xf>
    <xf numFmtId="3" fontId="3" fillId="0" borderId="32" xfId="0" applyNumberFormat="1"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169" fontId="1" fillId="0" borderId="0" xfId="0" applyNumberFormat="1" applyFont="1" applyAlignment="1" applyProtection="1">
      <alignment horizontal="center"/>
    </xf>
    <xf numFmtId="0" fontId="1" fillId="0" borderId="10" xfId="0" applyFont="1" applyBorder="1" applyAlignment="1" applyProtection="1">
      <alignment horizontal="left"/>
    </xf>
    <xf numFmtId="3" fontId="1" fillId="0" borderId="82" xfId="0" applyNumberFormat="1" applyFont="1" applyFill="1" applyBorder="1" applyAlignment="1" applyProtection="1">
      <alignment horizontal="center" vertical="center"/>
    </xf>
    <xf numFmtId="5" fontId="1" fillId="0" borderId="61" xfId="0" applyNumberFormat="1" applyFont="1" applyFill="1" applyBorder="1" applyAlignment="1" applyProtection="1">
      <alignment horizontal="center" vertical="center"/>
    </xf>
    <xf numFmtId="5" fontId="1" fillId="0" borderId="11" xfId="0" applyNumberFormat="1" applyFont="1" applyFill="1" applyBorder="1" applyAlignment="1" applyProtection="1">
      <alignment horizontal="center" vertical="center"/>
    </xf>
    <xf numFmtId="5" fontId="1" fillId="4" borderId="38" xfId="0" applyNumberFormat="1" applyFont="1" applyFill="1" applyBorder="1" applyAlignment="1" applyProtection="1">
      <alignment horizontal="center" vertical="center"/>
    </xf>
    <xf numFmtId="169" fontId="3" fillId="0" borderId="0" xfId="0" applyNumberFormat="1" applyFont="1" applyAlignment="1" applyProtection="1">
      <alignment horizontal="center" vertical="center"/>
    </xf>
    <xf numFmtId="0" fontId="1" fillId="0" borderId="12" xfId="0" applyFont="1" applyBorder="1" applyProtection="1"/>
    <xf numFmtId="3" fontId="1" fillId="0" borderId="30" xfId="0" applyNumberFormat="1" applyFont="1" applyFill="1" applyBorder="1" applyAlignment="1" applyProtection="1">
      <alignment horizontal="center" vertical="center"/>
    </xf>
    <xf numFmtId="5" fontId="1" fillId="0" borderId="44" xfId="0" applyNumberFormat="1" applyFont="1" applyFill="1" applyBorder="1" applyAlignment="1" applyProtection="1">
      <alignment horizontal="center" vertical="center"/>
    </xf>
    <xf numFmtId="5" fontId="1" fillId="0" borderId="13" xfId="0" applyNumberFormat="1" applyFont="1" applyFill="1" applyBorder="1" applyAlignment="1" applyProtection="1">
      <alignment horizontal="center" vertical="center"/>
    </xf>
    <xf numFmtId="5" fontId="1" fillId="4" borderId="61" xfId="0" applyNumberFormat="1" applyFont="1" applyFill="1" applyBorder="1" applyAlignment="1" applyProtection="1">
      <alignment horizontal="center" vertical="center"/>
    </xf>
    <xf numFmtId="5" fontId="1" fillId="4" borderId="60" xfId="0" applyNumberFormat="1" applyFont="1" applyFill="1" applyBorder="1" applyAlignment="1" applyProtection="1">
      <alignment horizontal="center" vertical="center"/>
    </xf>
    <xf numFmtId="5" fontId="1" fillId="4" borderId="28" xfId="0" applyNumberFormat="1" applyFont="1" applyFill="1" applyBorder="1" applyAlignment="1" applyProtection="1">
      <alignment horizontal="center" vertical="center"/>
    </xf>
    <xf numFmtId="5" fontId="1" fillId="4" borderId="96" xfId="0" applyNumberFormat="1" applyFont="1" applyFill="1" applyBorder="1" applyAlignment="1" applyProtection="1">
      <alignment horizontal="center" vertical="center"/>
    </xf>
    <xf numFmtId="5" fontId="1" fillId="4" borderId="11" xfId="0" applyNumberFormat="1" applyFont="1" applyFill="1" applyBorder="1" applyAlignment="1" applyProtection="1">
      <alignment horizontal="center" vertical="center"/>
    </xf>
    <xf numFmtId="0" fontId="3" fillId="0" borderId="6" xfId="0" applyFont="1" applyBorder="1" applyAlignment="1" applyProtection="1">
      <alignment horizontal="right"/>
    </xf>
    <xf numFmtId="3" fontId="3" fillId="0" borderId="44" xfId="0" applyNumberFormat="1" applyFont="1" applyFill="1" applyBorder="1" applyAlignment="1" applyProtection="1">
      <alignment horizontal="right"/>
    </xf>
    <xf numFmtId="3" fontId="1" fillId="0" borderId="6" xfId="0" applyNumberFormat="1" applyFont="1" applyFill="1" applyBorder="1" applyAlignment="1" applyProtection="1">
      <alignment horizontal="center" vertical="center"/>
    </xf>
    <xf numFmtId="5" fontId="1" fillId="0" borderId="38" xfId="0" applyNumberFormat="1" applyFont="1" applyFill="1" applyBorder="1" applyAlignment="1" applyProtection="1">
      <alignment horizontal="center" vertical="center"/>
    </xf>
    <xf numFmtId="5" fontId="1" fillId="0" borderId="26" xfId="0" applyNumberFormat="1" applyFont="1" applyFill="1" applyBorder="1" applyAlignment="1" applyProtection="1">
      <alignment horizontal="center" vertical="center"/>
    </xf>
    <xf numFmtId="0" fontId="31" fillId="0" borderId="32" xfId="0" applyFont="1" applyBorder="1" applyAlignment="1" applyProtection="1"/>
    <xf numFmtId="0" fontId="31" fillId="0" borderId="36" xfId="0" applyFont="1" applyBorder="1" applyAlignment="1" applyProtection="1"/>
    <xf numFmtId="3" fontId="31" fillId="0" borderId="32" xfId="0" applyNumberFormat="1" applyFont="1" applyFill="1" applyBorder="1" applyAlignment="1" applyProtection="1">
      <alignment horizontal="center" vertical="center"/>
    </xf>
    <xf numFmtId="0" fontId="31" fillId="0" borderId="36" xfId="0" applyFont="1" applyFill="1" applyBorder="1" applyAlignment="1" applyProtection="1">
      <alignment horizontal="center" vertical="center"/>
    </xf>
    <xf numFmtId="0" fontId="31" fillId="0" borderId="34" xfId="0" applyFont="1" applyFill="1" applyBorder="1" applyAlignment="1" applyProtection="1">
      <alignment horizontal="center" vertical="center"/>
    </xf>
    <xf numFmtId="0" fontId="3" fillId="0" borderId="17" xfId="0" applyFont="1" applyBorder="1" applyAlignment="1" applyProtection="1">
      <alignment horizontal="left" vertical="center"/>
    </xf>
    <xf numFmtId="0" fontId="3" fillId="0" borderId="40" xfId="0" applyFont="1" applyBorder="1" applyAlignment="1" applyProtection="1">
      <alignment horizontal="center" vertical="center" wrapText="1"/>
    </xf>
    <xf numFmtId="3" fontId="3" fillId="0" borderId="37" xfId="0"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76" xfId="0" applyFont="1" applyFill="1" applyBorder="1" applyAlignment="1" applyProtection="1">
      <alignment horizontal="center" vertical="center" wrapText="1"/>
    </xf>
    <xf numFmtId="3" fontId="1" fillId="4" borderId="38" xfId="0" applyNumberFormat="1" applyFont="1" applyFill="1" applyBorder="1" applyAlignment="1" applyProtection="1">
      <alignment horizontal="center" vertical="center"/>
    </xf>
    <xf numFmtId="3" fontId="1" fillId="4" borderId="6" xfId="0" applyNumberFormat="1" applyFont="1" applyFill="1" applyBorder="1" applyAlignment="1" applyProtection="1">
      <alignment horizontal="center" vertical="center"/>
    </xf>
    <xf numFmtId="3" fontId="1" fillId="4" borderId="61" xfId="0" applyNumberFormat="1" applyFont="1" applyFill="1" applyBorder="1" applyAlignment="1" applyProtection="1">
      <alignment horizontal="center" vertical="center"/>
    </xf>
    <xf numFmtId="3" fontId="1" fillId="4" borderId="82" xfId="0" applyNumberFormat="1" applyFont="1" applyFill="1" applyBorder="1" applyAlignment="1" applyProtection="1">
      <alignment horizontal="center" vertical="center"/>
    </xf>
    <xf numFmtId="0" fontId="6" fillId="0" borderId="12" xfId="0" applyFont="1" applyBorder="1" applyAlignment="1" applyProtection="1">
      <alignment horizontal="right"/>
    </xf>
    <xf numFmtId="3" fontId="1" fillId="0" borderId="44" xfId="0" applyNumberFormat="1" applyFont="1" applyFill="1" applyBorder="1" applyAlignment="1" applyProtection="1">
      <alignment horizontal="right"/>
    </xf>
    <xf numFmtId="0" fontId="3" fillId="0" borderId="12" xfId="0" applyFont="1" applyBorder="1" applyAlignment="1" applyProtection="1">
      <alignment horizontal="left" vertical="center" wrapText="1"/>
    </xf>
    <xf numFmtId="0" fontId="3" fillId="0" borderId="44" xfId="0" applyFont="1" applyBorder="1" applyAlignment="1" applyProtection="1">
      <alignment horizontal="center" vertical="center" wrapText="1"/>
    </xf>
    <xf numFmtId="3" fontId="3" fillId="0" borderId="81" xfId="0" applyNumberFormat="1" applyFont="1" applyFill="1" applyBorder="1" applyAlignment="1" applyProtection="1">
      <alignment horizontal="center" vertical="center" wrapText="1"/>
    </xf>
    <xf numFmtId="0" fontId="3" fillId="0" borderId="60"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1" fillId="0" borderId="12" xfId="0" applyFont="1" applyBorder="1" applyAlignment="1" applyProtection="1">
      <alignment wrapText="1"/>
    </xf>
    <xf numFmtId="0" fontId="1" fillId="0" borderId="0" xfId="0" applyFont="1" applyAlignment="1" applyProtection="1">
      <alignment horizontal="center"/>
    </xf>
    <xf numFmtId="0" fontId="6" fillId="0" borderId="6" xfId="0" applyFont="1" applyBorder="1" applyAlignment="1" applyProtection="1">
      <alignment horizontal="right"/>
    </xf>
    <xf numFmtId="0" fontId="3" fillId="0" borderId="17" xfId="0" applyFont="1" applyBorder="1" applyAlignment="1" applyProtection="1">
      <alignment horizontal="center" vertical="center" wrapText="1"/>
    </xf>
    <xf numFmtId="10" fontId="3" fillId="0" borderId="37" xfId="0" applyNumberFormat="1" applyFont="1" applyFill="1" applyBorder="1" applyAlignment="1" applyProtection="1">
      <alignment horizontal="center" vertical="center" wrapText="1"/>
    </xf>
    <xf numFmtId="10" fontId="3" fillId="0" borderId="76" xfId="0" applyNumberFormat="1" applyFont="1" applyFill="1" applyBorder="1" applyAlignment="1" applyProtection="1">
      <alignment horizontal="center" vertical="center" wrapText="1"/>
    </xf>
    <xf numFmtId="0" fontId="1" fillId="0" borderId="35" xfId="0" applyFont="1" applyBorder="1" applyAlignment="1" applyProtection="1">
      <alignment horizontal="right"/>
    </xf>
    <xf numFmtId="0" fontId="6" fillId="0" borderId="30" xfId="0" applyFont="1" applyBorder="1" applyAlignment="1" applyProtection="1">
      <alignment horizontal="right"/>
    </xf>
    <xf numFmtId="1" fontId="3" fillId="0" borderId="44" xfId="0" applyNumberFormat="1" applyFont="1" applyFill="1" applyBorder="1" applyAlignment="1" applyProtection="1">
      <alignment horizontal="right"/>
    </xf>
    <xf numFmtId="5" fontId="1" fillId="0" borderId="31" xfId="0" applyNumberFormat="1" applyFont="1" applyFill="1" applyBorder="1" applyAlignment="1" applyProtection="1">
      <alignment horizontal="center" vertical="center"/>
    </xf>
    <xf numFmtId="0" fontId="1" fillId="0" borderId="10" xfId="0" applyFont="1" applyBorder="1" applyProtection="1"/>
    <xf numFmtId="0" fontId="1" fillId="0" borderId="12" xfId="0" applyFont="1" applyBorder="1" applyAlignment="1" applyProtection="1">
      <alignment horizontal="right"/>
    </xf>
    <xf numFmtId="3" fontId="3" fillId="4" borderId="82" xfId="0" applyNumberFormat="1" applyFont="1" applyFill="1" applyBorder="1" applyAlignment="1" applyProtection="1">
      <alignment horizontal="center" vertical="center"/>
    </xf>
    <xf numFmtId="3" fontId="3" fillId="4" borderId="61" xfId="0" applyNumberFormat="1" applyFont="1" applyFill="1" applyBorder="1" applyAlignment="1" applyProtection="1">
      <alignment horizontal="center" vertical="center"/>
    </xf>
    <xf numFmtId="0" fontId="6" fillId="0" borderId="67" xfId="0" applyFont="1" applyBorder="1" applyAlignment="1" applyProtection="1">
      <alignment horizontal="right"/>
    </xf>
    <xf numFmtId="1" fontId="3" fillId="0" borderId="41" xfId="0" applyNumberFormat="1" applyFont="1" applyFill="1" applyBorder="1" applyAlignment="1" applyProtection="1">
      <alignment horizontal="right"/>
    </xf>
    <xf numFmtId="0" fontId="3" fillId="0" borderId="17" xfId="0" applyFont="1" applyBorder="1" applyProtection="1"/>
    <xf numFmtId="3" fontId="3" fillId="0" borderId="40" xfId="0" applyNumberFormat="1"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wrapText="1"/>
    </xf>
    <xf numFmtId="5" fontId="1" fillId="0" borderId="40" xfId="0" applyNumberFormat="1" applyFont="1" applyFill="1" applyBorder="1" applyAlignment="1" applyProtection="1">
      <alignment horizontal="center" vertical="center"/>
    </xf>
    <xf numFmtId="0" fontId="1" fillId="0" borderId="10" xfId="0" applyFont="1" applyFill="1" applyBorder="1" applyAlignment="1" applyProtection="1">
      <alignment vertical="center" wrapText="1"/>
    </xf>
    <xf numFmtId="3" fontId="1" fillId="0" borderId="44" xfId="0" applyNumberFormat="1" applyFont="1" applyFill="1" applyBorder="1" applyAlignment="1" applyProtection="1">
      <alignment horizontal="center" vertical="center"/>
    </xf>
    <xf numFmtId="0" fontId="1" fillId="0" borderId="12" xfId="0" applyFont="1" applyFill="1" applyBorder="1" applyAlignment="1" applyProtection="1">
      <alignment vertical="center" wrapText="1"/>
    </xf>
    <xf numFmtId="0" fontId="1" fillId="0" borderId="12" xfId="0" applyFont="1" applyBorder="1" applyAlignment="1" applyProtection="1">
      <alignment vertical="center" wrapText="1"/>
    </xf>
    <xf numFmtId="3" fontId="1" fillId="0" borderId="44" xfId="0" applyNumberFormat="1" applyFont="1" applyFill="1" applyBorder="1" applyAlignment="1" applyProtection="1">
      <alignment horizontal="right" vertical="center"/>
    </xf>
    <xf numFmtId="3" fontId="1" fillId="0" borderId="41" xfId="0" applyNumberFormat="1" applyFont="1" applyFill="1" applyBorder="1" applyAlignment="1" applyProtection="1">
      <alignment horizontal="center" vertical="center"/>
    </xf>
    <xf numFmtId="5" fontId="1" fillId="0" borderId="41" xfId="0" applyNumberFormat="1" applyFont="1" applyFill="1" applyBorder="1" applyAlignment="1" applyProtection="1">
      <alignment horizontal="center" vertical="center"/>
    </xf>
    <xf numFmtId="0" fontId="3" fillId="0" borderId="8" xfId="0" applyFont="1" applyBorder="1" applyAlignment="1" applyProtection="1">
      <alignment vertical="center"/>
    </xf>
    <xf numFmtId="0" fontId="3" fillId="0" borderId="40" xfId="0" applyFont="1" applyBorder="1" applyAlignment="1" applyProtection="1">
      <alignment horizontal="center"/>
    </xf>
    <xf numFmtId="3" fontId="3" fillId="0" borderId="40" xfId="0" applyNumberFormat="1"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1" fillId="0" borderId="35" xfId="0" applyFont="1" applyBorder="1" applyAlignment="1" applyProtection="1">
      <alignment vertical="center" wrapText="1"/>
    </xf>
    <xf numFmtId="0" fontId="6" fillId="0" borderId="41" xfId="0" applyFont="1" applyBorder="1" applyAlignment="1" applyProtection="1">
      <alignment horizontal="right"/>
    </xf>
    <xf numFmtId="3" fontId="3" fillId="0" borderId="8" xfId="0" applyNumberFormat="1"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1" fillId="0" borderId="10" xfId="0" applyFont="1" applyBorder="1" applyAlignment="1" applyProtection="1">
      <alignment vertical="center" wrapText="1"/>
    </xf>
    <xf numFmtId="5" fontId="1" fillId="0" borderId="60" xfId="0" applyNumberFormat="1" applyFont="1" applyFill="1" applyBorder="1" applyAlignment="1" applyProtection="1">
      <alignment horizontal="center" vertical="center"/>
    </xf>
    <xf numFmtId="42" fontId="1" fillId="0" borderId="38" xfId="0" applyNumberFormat="1" applyFont="1" applyFill="1" applyBorder="1" applyAlignment="1" applyProtection="1">
      <alignment horizontal="center" vertical="center"/>
    </xf>
    <xf numFmtId="42" fontId="1" fillId="0" borderId="26" xfId="0" applyNumberFormat="1" applyFont="1" applyFill="1" applyBorder="1" applyAlignment="1" applyProtection="1">
      <alignment horizontal="center" vertical="center"/>
    </xf>
    <xf numFmtId="0" fontId="3" fillId="0" borderId="17" xfId="0" applyFont="1" applyBorder="1" applyAlignment="1" applyProtection="1"/>
    <xf numFmtId="3" fontId="31" fillId="0" borderId="8" xfId="0" applyNumberFormat="1" applyFont="1" applyFill="1" applyBorder="1" applyAlignment="1" applyProtection="1">
      <alignment horizontal="center" vertical="center"/>
    </xf>
    <xf numFmtId="42" fontId="31" fillId="0" borderId="40" xfId="0" applyNumberFormat="1" applyFont="1" applyFill="1" applyBorder="1" applyAlignment="1" applyProtection="1">
      <alignment horizontal="center" vertical="center"/>
    </xf>
    <xf numFmtId="0" fontId="31" fillId="0" borderId="9" xfId="0" applyFont="1" applyFill="1" applyBorder="1" applyAlignment="1" applyProtection="1">
      <alignment horizontal="center" vertical="center"/>
    </xf>
    <xf numFmtId="0" fontId="1" fillId="0" borderId="35" xfId="0" applyFont="1" applyBorder="1" applyProtection="1"/>
    <xf numFmtId="3" fontId="1" fillId="0" borderId="60" xfId="0" applyNumberFormat="1" applyFont="1" applyFill="1" applyBorder="1" applyAlignment="1" applyProtection="1">
      <alignment horizontal="right" vertical="center"/>
    </xf>
    <xf numFmtId="0" fontId="48" fillId="0" borderId="32" xfId="0" applyFont="1" applyBorder="1" applyAlignment="1" applyProtection="1">
      <alignment horizontal="right" vertical="center" wrapText="1"/>
    </xf>
    <xf numFmtId="3" fontId="1" fillId="0" borderId="36" xfId="0" applyNumberFormat="1" applyFont="1" applyFill="1" applyBorder="1" applyAlignment="1" applyProtection="1">
      <alignment horizontal="right" vertical="center"/>
    </xf>
    <xf numFmtId="3" fontId="1" fillId="0" borderId="32" xfId="0" applyNumberFormat="1" applyFont="1" applyFill="1" applyBorder="1" applyAlignment="1" applyProtection="1">
      <alignment horizontal="center" vertical="center"/>
    </xf>
    <xf numFmtId="5" fontId="3" fillId="0" borderId="36" xfId="0" applyNumberFormat="1" applyFont="1" applyFill="1" applyBorder="1" applyAlignment="1" applyProtection="1">
      <alignment horizontal="center" vertical="center"/>
    </xf>
    <xf numFmtId="3" fontId="1" fillId="4" borderId="42" xfId="0" applyNumberFormat="1" applyFont="1" applyFill="1" applyBorder="1" applyAlignment="1" applyProtection="1">
      <alignment horizontal="center" vertical="center"/>
    </xf>
    <xf numFmtId="3" fontId="1" fillId="4" borderId="10" xfId="0" applyNumberFormat="1" applyFont="1" applyFill="1" applyBorder="1" applyAlignment="1" applyProtection="1">
      <alignment horizontal="center" vertical="center"/>
    </xf>
    <xf numFmtId="0" fontId="6" fillId="0" borderId="10" xfId="0" applyFont="1" applyBorder="1" applyAlignment="1" applyProtection="1">
      <alignment horizontal="right"/>
    </xf>
    <xf numFmtId="41" fontId="1" fillId="0" borderId="61" xfId="0" applyNumberFormat="1" applyFont="1" applyFill="1" applyBorder="1" applyAlignment="1" applyProtection="1">
      <alignment horizontal="center"/>
    </xf>
    <xf numFmtId="0" fontId="1" fillId="0" borderId="0" xfId="0" applyFont="1" applyBorder="1" applyProtection="1"/>
    <xf numFmtId="0" fontId="3" fillId="0" borderId="0" xfId="0" applyFont="1" applyBorder="1" applyAlignment="1" applyProtection="1">
      <alignment horizontal="left" vertical="center"/>
    </xf>
    <xf numFmtId="5" fontId="3" fillId="0" borderId="0" xfId="0" applyNumberFormat="1" applyFont="1" applyBorder="1" applyAlignment="1" applyProtection="1">
      <alignment horizontal="left" vertical="center"/>
    </xf>
    <xf numFmtId="3" fontId="1" fillId="0" borderId="39" xfId="0" applyNumberFormat="1" applyFont="1" applyFill="1" applyBorder="1" applyAlignment="1" applyProtection="1">
      <alignment horizontal="center" vertical="center"/>
    </xf>
    <xf numFmtId="3" fontId="1" fillId="0" borderId="67" xfId="0" applyNumberFormat="1" applyFont="1" applyFill="1" applyBorder="1" applyAlignment="1" applyProtection="1">
      <alignment horizontal="center" vertical="center"/>
    </xf>
    <xf numFmtId="3" fontId="3" fillId="4" borderId="37" xfId="0" applyNumberFormat="1"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76" xfId="0" applyFont="1" applyFill="1" applyBorder="1" applyAlignment="1" applyProtection="1">
      <alignment horizontal="center" vertical="center" wrapText="1"/>
    </xf>
    <xf numFmtId="173" fontId="1" fillId="0" borderId="28" xfId="6" applyNumberFormat="1" applyFont="1" applyFill="1" applyBorder="1" applyAlignment="1" applyProtection="1">
      <alignment horizontal="right" vertical="center"/>
    </xf>
    <xf numFmtId="10" fontId="1" fillId="4" borderId="38" xfId="0" applyNumberFormat="1" applyFont="1" applyFill="1" applyBorder="1" applyAlignment="1" applyProtection="1">
      <alignment horizontal="center" vertical="center"/>
    </xf>
    <xf numFmtId="10" fontId="1" fillId="4" borderId="96" xfId="0" applyNumberFormat="1" applyFont="1" applyFill="1" applyBorder="1" applyAlignment="1" applyProtection="1">
      <alignment horizontal="center" vertical="center"/>
    </xf>
    <xf numFmtId="10" fontId="1" fillId="0" borderId="60" xfId="0" applyNumberFormat="1" applyFont="1" applyFill="1" applyBorder="1" applyAlignment="1" applyProtection="1">
      <alignment horizontal="right" vertical="center"/>
    </xf>
    <xf numFmtId="164" fontId="1" fillId="4" borderId="38" xfId="0" applyNumberFormat="1" applyFont="1" applyFill="1" applyBorder="1" applyAlignment="1" applyProtection="1">
      <alignment horizontal="center" vertical="center"/>
    </xf>
    <xf numFmtId="0" fontId="1" fillId="0" borderId="44" xfId="0" applyFont="1" applyBorder="1" applyProtection="1"/>
    <xf numFmtId="173" fontId="1" fillId="0" borderId="44" xfId="0" applyNumberFormat="1" applyFont="1" applyFill="1" applyBorder="1" applyAlignment="1" applyProtection="1">
      <alignment horizontal="right" vertical="center"/>
    </xf>
    <xf numFmtId="173" fontId="1" fillId="0" borderId="41" xfId="6" applyNumberFormat="1" applyFont="1" applyFill="1" applyBorder="1" applyAlignment="1" applyProtection="1">
      <alignment horizontal="right" vertical="center"/>
    </xf>
    <xf numFmtId="164" fontId="1" fillId="4" borderId="39" xfId="0" applyNumberFormat="1"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96" xfId="0" applyFont="1" applyFill="1" applyBorder="1" applyAlignment="1" applyProtection="1">
      <alignment horizontal="center" vertical="center" wrapText="1"/>
    </xf>
    <xf numFmtId="0" fontId="1" fillId="0" borderId="35" xfId="0" applyFont="1" applyFill="1" applyBorder="1" applyAlignment="1" applyProtection="1">
      <alignment wrapText="1"/>
    </xf>
    <xf numFmtId="3" fontId="1" fillId="4" borderId="94" xfId="0" applyNumberFormat="1" applyFont="1" applyFill="1" applyBorder="1" applyAlignment="1" applyProtection="1">
      <alignment horizontal="center" vertical="center"/>
    </xf>
    <xf numFmtId="3" fontId="1" fillId="4" borderId="0" xfId="0" applyNumberFormat="1" applyFont="1" applyFill="1" applyBorder="1" applyAlignment="1" applyProtection="1">
      <alignment horizontal="center" vertical="center"/>
    </xf>
    <xf numFmtId="0" fontId="1" fillId="0" borderId="14" xfId="0" applyFont="1" applyBorder="1" applyProtection="1"/>
    <xf numFmtId="3" fontId="1" fillId="4" borderId="95" xfId="0" applyNumberFormat="1" applyFont="1" applyFill="1" applyBorder="1" applyAlignment="1" applyProtection="1">
      <alignment horizontal="center" vertical="center"/>
    </xf>
    <xf numFmtId="3" fontId="1" fillId="4" borderId="24" xfId="0" applyNumberFormat="1" applyFont="1" applyFill="1" applyBorder="1" applyAlignment="1" applyProtection="1">
      <alignment horizontal="center" vertical="center"/>
    </xf>
    <xf numFmtId="5" fontId="3" fillId="0" borderId="40" xfId="0" applyNumberFormat="1" applyFont="1" applyFill="1" applyBorder="1" applyAlignment="1" applyProtection="1">
      <alignment horizontal="center" vertical="center"/>
    </xf>
    <xf numFmtId="3" fontId="1" fillId="0" borderId="8" xfId="0" applyNumberFormat="1" applyFont="1" applyFill="1" applyBorder="1" applyAlignment="1" applyProtection="1">
      <alignment horizontal="center" vertical="center"/>
    </xf>
    <xf numFmtId="3" fontId="1" fillId="0" borderId="5" xfId="0" applyNumberFormat="1" applyFont="1" applyFill="1" applyBorder="1" applyAlignment="1" applyProtection="1">
      <alignment horizontal="center" vertical="center"/>
    </xf>
    <xf numFmtId="42" fontId="1" fillId="4" borderId="38" xfId="0" applyNumberFormat="1" applyFont="1" applyFill="1" applyBorder="1" applyAlignment="1" applyProtection="1">
      <alignment horizontal="center" vertical="center"/>
    </xf>
    <xf numFmtId="42" fontId="1" fillId="4" borderId="96" xfId="0" applyNumberFormat="1" applyFont="1" applyFill="1" applyBorder="1" applyAlignment="1" applyProtection="1">
      <alignment horizontal="center" vertical="center"/>
    </xf>
    <xf numFmtId="0" fontId="1" fillId="0" borderId="47" xfId="0" applyFont="1" applyBorder="1" applyProtection="1"/>
    <xf numFmtId="173" fontId="1" fillId="0" borderId="7" xfId="6" applyNumberFormat="1" applyFont="1" applyFill="1" applyBorder="1" applyAlignment="1" applyProtection="1">
      <alignment horizontal="center" vertical="center"/>
    </xf>
    <xf numFmtId="42" fontId="1" fillId="4" borderId="39" xfId="0" applyNumberFormat="1" applyFont="1" applyFill="1" applyBorder="1" applyAlignment="1" applyProtection="1">
      <alignment horizontal="center" vertical="center"/>
    </xf>
    <xf numFmtId="42" fontId="1" fillId="4" borderId="49" xfId="0" applyNumberFormat="1" applyFont="1" applyFill="1" applyBorder="1" applyAlignment="1" applyProtection="1">
      <alignment horizontal="center" vertical="center"/>
    </xf>
    <xf numFmtId="0" fontId="6" fillId="0" borderId="47" xfId="0" applyFont="1" applyBorder="1" applyAlignment="1" applyProtection="1">
      <alignment horizontal="right"/>
    </xf>
    <xf numFmtId="41" fontId="1" fillId="0" borderId="49" xfId="0" applyNumberFormat="1" applyFont="1" applyFill="1" applyBorder="1" applyAlignment="1" applyProtection="1">
      <alignment horizontal="center" vertical="center"/>
    </xf>
    <xf numFmtId="3" fontId="1" fillId="0" borderId="7" xfId="0" applyNumberFormat="1" applyFont="1" applyFill="1" applyBorder="1" applyAlignment="1" applyProtection="1">
      <alignment horizontal="center" vertical="center"/>
    </xf>
    <xf numFmtId="5" fontId="1" fillId="0" borderId="39" xfId="0" applyNumberFormat="1" applyFont="1" applyFill="1" applyBorder="1" applyAlignment="1" applyProtection="1">
      <alignment horizontal="center" vertical="center"/>
    </xf>
    <xf numFmtId="5" fontId="1" fillId="0" borderId="25" xfId="0" applyNumberFormat="1" applyFont="1" applyFill="1" applyBorder="1" applyAlignment="1" applyProtection="1">
      <alignment horizontal="center" vertical="center"/>
    </xf>
    <xf numFmtId="5" fontId="1" fillId="0" borderId="49" xfId="0" applyNumberFormat="1" applyFont="1" applyFill="1" applyBorder="1" applyAlignment="1" applyProtection="1">
      <alignment horizontal="center" vertical="center"/>
    </xf>
    <xf numFmtId="41" fontId="1" fillId="0" borderId="0" xfId="0" applyNumberFormat="1" applyFont="1" applyFill="1" applyBorder="1" applyAlignment="1" applyProtection="1">
      <alignment horizontal="center"/>
    </xf>
    <xf numFmtId="10" fontId="1" fillId="14" borderId="13" xfId="0" applyNumberFormat="1" applyFont="1" applyFill="1" applyBorder="1" applyAlignment="1" applyProtection="1">
      <alignment horizontal="center"/>
      <protection locked="0"/>
    </xf>
    <xf numFmtId="10" fontId="1" fillId="14" borderId="15" xfId="0" applyNumberFormat="1" applyFont="1" applyFill="1" applyBorder="1" applyAlignment="1" applyProtection="1">
      <alignment horizontal="center"/>
      <protection locked="0"/>
    </xf>
    <xf numFmtId="0" fontId="1" fillId="14" borderId="11" xfId="0" applyFont="1" applyFill="1" applyBorder="1" applyAlignment="1" applyProtection="1">
      <alignment horizontal="center"/>
      <protection locked="0"/>
    </xf>
    <xf numFmtId="0" fontId="1" fillId="14" borderId="13" xfId="0" applyFont="1" applyFill="1" applyBorder="1" applyAlignment="1" applyProtection="1">
      <alignment horizontal="center"/>
      <protection locked="0"/>
    </xf>
    <xf numFmtId="171" fontId="1" fillId="14" borderId="11" xfId="0" applyNumberFormat="1" applyFont="1" applyFill="1" applyBorder="1" applyAlignment="1" applyProtection="1">
      <alignment horizontal="center"/>
      <protection locked="0"/>
    </xf>
    <xf numFmtId="171" fontId="1" fillId="14" borderId="15" xfId="0" applyNumberFormat="1" applyFont="1" applyFill="1" applyBorder="1" applyAlignment="1" applyProtection="1">
      <alignment horizontal="center"/>
      <protection locked="0"/>
    </xf>
    <xf numFmtId="0" fontId="30" fillId="0" borderId="0" xfId="2" applyFont="1" applyFill="1" applyAlignment="1" applyProtection="1">
      <alignment horizontal="right" wrapText="1"/>
    </xf>
    <xf numFmtId="0" fontId="30" fillId="0" borderId="37" xfId="2" applyFont="1" applyFill="1" applyBorder="1" applyAlignment="1" applyProtection="1">
      <alignment horizontal="center" vertical="center"/>
    </xf>
    <xf numFmtId="0" fontId="30" fillId="0" borderId="0" xfId="0" applyFont="1" applyAlignment="1" applyProtection="1">
      <alignment horizontal="center"/>
    </xf>
    <xf numFmtId="0" fontId="4" fillId="0" borderId="0" xfId="0" applyFont="1" applyProtection="1"/>
    <xf numFmtId="0" fontId="4" fillId="21" borderId="1" xfId="2" applyFont="1" applyFill="1" applyBorder="1" applyAlignment="1" applyProtection="1">
      <alignment horizontal="left" vertical="center" wrapText="1"/>
    </xf>
    <xf numFmtId="42" fontId="4" fillId="21" borderId="1" xfId="2" applyNumberFormat="1" applyFont="1" applyFill="1" applyBorder="1" applyAlignment="1" applyProtection="1">
      <alignment horizontal="center" vertical="center"/>
    </xf>
    <xf numFmtId="42" fontId="4" fillId="16" borderId="1" xfId="0" applyNumberFormat="1" applyFont="1" applyFill="1" applyBorder="1" applyAlignment="1" applyProtection="1">
      <alignment horizontal="center" vertical="center"/>
    </xf>
    <xf numFmtId="0" fontId="4" fillId="0" borderId="0" xfId="0" applyFont="1" applyAlignment="1" applyProtection="1">
      <alignment horizontal="center" vertical="center"/>
    </xf>
    <xf numFmtId="0" fontId="22" fillId="21" borderId="1" xfId="2" applyFont="1" applyFill="1" applyBorder="1" applyAlignment="1" applyProtection="1">
      <alignment horizontal="left" vertical="center" wrapText="1"/>
    </xf>
    <xf numFmtId="168" fontId="22" fillId="21" borderId="1" xfId="2" applyNumberFormat="1" applyFont="1" applyFill="1" applyBorder="1" applyAlignment="1" applyProtection="1">
      <alignment horizontal="center" vertical="center"/>
    </xf>
    <xf numFmtId="168" fontId="4" fillId="16" borderId="1" xfId="0" applyNumberFormat="1" applyFont="1" applyFill="1" applyBorder="1" applyAlignment="1" applyProtection="1">
      <alignment horizontal="center" vertical="center"/>
    </xf>
    <xf numFmtId="0" fontId="52" fillId="10" borderId="1" xfId="2" applyFont="1" applyFill="1" applyBorder="1" applyAlignment="1" applyProtection="1">
      <alignment horizontal="left" vertical="center" wrapText="1"/>
    </xf>
    <xf numFmtId="168" fontId="52" fillId="10" borderId="1" xfId="2" applyNumberFormat="1" applyFont="1" applyFill="1" applyBorder="1" applyAlignment="1" applyProtection="1">
      <alignment horizontal="center" vertical="center"/>
    </xf>
    <xf numFmtId="0" fontId="4" fillId="16" borderId="1" xfId="0" applyFont="1" applyFill="1" applyBorder="1" applyAlignment="1" applyProtection="1">
      <alignment horizontal="center" vertical="center"/>
    </xf>
    <xf numFmtId="165" fontId="4" fillId="21" borderId="1" xfId="2" applyNumberFormat="1" applyFont="1" applyFill="1" applyBorder="1" applyAlignment="1" applyProtection="1">
      <alignment horizontal="center" vertical="center"/>
    </xf>
    <xf numFmtId="10" fontId="4" fillId="16" borderId="1" xfId="5" applyNumberFormat="1" applyFont="1" applyFill="1" applyBorder="1" applyAlignment="1" applyProtection="1">
      <alignment horizontal="center" vertical="center"/>
    </xf>
    <xf numFmtId="9" fontId="52" fillId="10" borderId="1" xfId="2" applyNumberFormat="1" applyFont="1" applyFill="1" applyBorder="1" applyAlignment="1" applyProtection="1">
      <alignment horizontal="center" vertical="center"/>
    </xf>
    <xf numFmtId="0" fontId="53" fillId="9" borderId="1" xfId="2" applyFont="1" applyFill="1" applyBorder="1" applyAlignment="1" applyProtection="1">
      <alignment horizontal="left" vertical="center" wrapText="1"/>
    </xf>
    <xf numFmtId="168" fontId="53" fillId="9" borderId="1" xfId="2" applyNumberFormat="1" applyFont="1" applyFill="1" applyBorder="1" applyAlignment="1" applyProtection="1">
      <alignment horizontal="center" vertical="center"/>
    </xf>
    <xf numFmtId="0" fontId="15" fillId="16" borderId="1" xfId="2" applyFont="1" applyFill="1" applyBorder="1" applyAlignment="1" applyProtection="1">
      <alignment horizontal="left" vertical="center" wrapText="1"/>
    </xf>
    <xf numFmtId="168" fontId="53" fillId="16" borderId="1" xfId="2" applyNumberFormat="1" applyFont="1" applyFill="1" applyBorder="1" applyAlignment="1" applyProtection="1">
      <alignment horizontal="center" vertical="center"/>
    </xf>
    <xf numFmtId="168" fontId="4" fillId="0" borderId="0" xfId="0" applyNumberFormat="1" applyFont="1" applyAlignment="1" applyProtection="1">
      <alignment horizontal="center" vertical="center"/>
    </xf>
    <xf numFmtId="0" fontId="3" fillId="16" borderId="21" xfId="0" applyFont="1" applyFill="1" applyBorder="1" applyAlignment="1" applyProtection="1">
      <alignment wrapText="1"/>
    </xf>
    <xf numFmtId="10" fontId="82" fillId="16" borderId="21" xfId="5" applyNumberFormat="1" applyFont="1" applyFill="1" applyBorder="1" applyProtection="1"/>
    <xf numFmtId="8" fontId="4" fillId="0" borderId="0" xfId="0" applyNumberFormat="1" applyFont="1" applyProtection="1"/>
    <xf numFmtId="0" fontId="4" fillId="0" borderId="0" xfId="0" applyFont="1" applyAlignment="1" applyProtection="1">
      <alignment horizontal="center" vertical="center" wrapText="1"/>
    </xf>
    <xf numFmtId="0" fontId="4" fillId="0" borderId="0" xfId="0" applyFont="1" applyAlignment="1" applyProtection="1">
      <alignment wrapText="1"/>
    </xf>
    <xf numFmtId="0" fontId="30" fillId="0" borderId="0" xfId="2" applyFont="1" applyFill="1" applyBorder="1" applyAlignment="1" applyProtection="1">
      <alignment horizontal="center" vertical="center"/>
    </xf>
    <xf numFmtId="0" fontId="30" fillId="0" borderId="0" xfId="2" applyFont="1" applyFill="1" applyAlignment="1" applyProtection="1">
      <alignment horizontal="center" wrapText="1"/>
    </xf>
    <xf numFmtId="0" fontId="4" fillId="0" borderId="0" xfId="2" applyFont="1" applyFill="1" applyAlignment="1" applyProtection="1">
      <alignment horizontal="right" wrapText="1"/>
    </xf>
    <xf numFmtId="0" fontId="4" fillId="0" borderId="0" xfId="2" applyFont="1" applyFill="1" applyAlignment="1" applyProtection="1">
      <alignment horizontal="center" wrapText="1"/>
    </xf>
    <xf numFmtId="0" fontId="4" fillId="0" borderId="0" xfId="2" applyFont="1" applyFill="1" applyBorder="1" applyAlignment="1" applyProtection="1">
      <alignment horizontal="center" vertical="center"/>
    </xf>
    <xf numFmtId="0" fontId="53" fillId="16" borderId="1" xfId="2" applyFont="1" applyFill="1" applyBorder="1" applyAlignment="1" applyProtection="1">
      <alignment horizontal="left" vertical="center" wrapText="1"/>
    </xf>
    <xf numFmtId="0" fontId="4" fillId="16" borderId="3" xfId="0" applyFont="1" applyFill="1" applyBorder="1" applyProtection="1"/>
    <xf numFmtId="0" fontId="53" fillId="0" borderId="3" xfId="2" applyFont="1" applyFill="1" applyBorder="1" applyAlignment="1" applyProtection="1">
      <alignment horizontal="left" vertical="center" wrapText="1"/>
    </xf>
    <xf numFmtId="0" fontId="4" fillId="0" borderId="16" xfId="0" applyFont="1" applyFill="1" applyBorder="1" applyProtection="1"/>
    <xf numFmtId="168" fontId="53" fillId="0" borderId="16" xfId="2" applyNumberFormat="1" applyFont="1" applyFill="1" applyBorder="1" applyAlignment="1" applyProtection="1">
      <alignment horizontal="center" vertical="center"/>
    </xf>
    <xf numFmtId="168" fontId="53" fillId="0" borderId="45" xfId="2"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168" fontId="53" fillId="0" borderId="3" xfId="2" applyNumberFormat="1" applyFont="1" applyFill="1" applyBorder="1" applyAlignment="1" applyProtection="1">
      <alignment horizontal="center" vertical="center"/>
    </xf>
    <xf numFmtId="0" fontId="4" fillId="16" borderId="1" xfId="0" applyFont="1" applyFill="1" applyBorder="1" applyAlignment="1" applyProtection="1">
      <alignment horizontal="right" vertical="center"/>
    </xf>
    <xf numFmtId="0" fontId="4" fillId="16" borderId="1" xfId="0" applyFont="1" applyFill="1" applyBorder="1" applyProtection="1"/>
    <xf numFmtId="3" fontId="82" fillId="16" borderId="1" xfId="0" applyNumberFormat="1" applyFont="1" applyFill="1" applyBorder="1" applyProtection="1"/>
    <xf numFmtId="173" fontId="53" fillId="16" borderId="1" xfId="6" applyNumberFormat="1" applyFont="1" applyFill="1" applyBorder="1" applyAlignment="1" applyProtection="1">
      <alignment horizontal="center" vertical="center"/>
    </xf>
    <xf numFmtId="0" fontId="53" fillId="0" borderId="1" xfId="2" applyFont="1" applyFill="1" applyBorder="1" applyAlignment="1" applyProtection="1">
      <alignment horizontal="left" vertical="center" wrapText="1"/>
    </xf>
    <xf numFmtId="0" fontId="4" fillId="0" borderId="3" xfId="0" applyFont="1" applyFill="1" applyBorder="1" applyProtection="1"/>
    <xf numFmtId="168" fontId="53" fillId="0" borderId="1" xfId="2" applyNumberFormat="1" applyFont="1" applyFill="1" applyBorder="1" applyAlignment="1" applyProtection="1">
      <alignment horizontal="center" vertical="center"/>
    </xf>
    <xf numFmtId="0" fontId="82" fillId="16" borderId="1" xfId="0" applyFont="1" applyFill="1" applyBorder="1" applyAlignment="1" applyProtection="1">
      <alignment wrapText="1"/>
    </xf>
    <xf numFmtId="10" fontId="82" fillId="16" borderId="3" xfId="0" applyNumberFormat="1" applyFont="1" applyFill="1" applyBorder="1" applyProtection="1"/>
    <xf numFmtId="9" fontId="82" fillId="0" borderId="45" xfId="5" applyFont="1" applyFill="1" applyBorder="1" applyProtection="1"/>
    <xf numFmtId="0" fontId="31" fillId="0" borderId="0" xfId="0" applyFont="1" applyAlignment="1" applyProtection="1">
      <alignment vertical="center"/>
    </xf>
    <xf numFmtId="0" fontId="31" fillId="0" borderId="0" xfId="0" applyFont="1" applyBorder="1" applyAlignment="1" applyProtection="1">
      <alignment horizontal="center" vertical="center"/>
    </xf>
    <xf numFmtId="0" fontId="31" fillId="0" borderId="0" xfId="0" applyFont="1" applyBorder="1" applyAlignment="1" applyProtection="1">
      <alignment vertical="center"/>
    </xf>
    <xf numFmtId="0" fontId="30" fillId="0" borderId="0" xfId="0" applyFont="1" applyAlignment="1" applyProtection="1">
      <alignment vertical="center"/>
    </xf>
    <xf numFmtId="0" fontId="36" fillId="0" borderId="0" xfId="0" applyFont="1" applyAlignment="1" applyProtection="1">
      <alignment vertical="center"/>
    </xf>
    <xf numFmtId="0" fontId="32" fillId="0" borderId="0" xfId="0" applyFont="1" applyBorder="1" applyAlignment="1" applyProtection="1">
      <alignment horizontal="center" vertical="center" textRotation="90"/>
    </xf>
    <xf numFmtId="0" fontId="30" fillId="0" borderId="0" xfId="0" applyFont="1" applyBorder="1" applyAlignment="1" applyProtection="1">
      <alignment vertical="center"/>
    </xf>
    <xf numFmtId="0" fontId="30" fillId="0" borderId="0" xfId="0" applyFont="1" applyFill="1" applyAlignment="1" applyProtection="1">
      <alignment vertical="center"/>
    </xf>
    <xf numFmtId="174" fontId="31" fillId="0" borderId="36" xfId="0" applyNumberFormat="1" applyFont="1" applyBorder="1" applyAlignment="1" applyProtection="1">
      <alignment horizontal="center" vertical="center"/>
    </xf>
    <xf numFmtId="0" fontId="31" fillId="17" borderId="36"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30" fillId="17" borderId="0" xfId="0" applyFont="1" applyFill="1" applyAlignment="1" applyProtection="1">
      <alignment vertical="center"/>
    </xf>
    <xf numFmtId="0" fontId="1" fillId="0" borderId="1" xfId="0" applyFont="1" applyBorder="1" applyAlignment="1" applyProtection="1">
      <alignment horizontal="right" vertical="center" wrapText="1"/>
    </xf>
    <xf numFmtId="3" fontId="1"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164" fontId="1" fillId="0" borderId="1" xfId="0" applyNumberFormat="1" applyFont="1" applyBorder="1" applyAlignment="1" applyProtection="1">
      <alignment vertical="center"/>
    </xf>
    <xf numFmtId="164" fontId="1" fillId="17" borderId="1" xfId="0" applyNumberFormat="1" applyFont="1" applyFill="1" applyBorder="1" applyAlignment="1" applyProtection="1">
      <alignment vertical="center"/>
    </xf>
    <xf numFmtId="0" fontId="1" fillId="0" borderId="0" xfId="0" applyFont="1" applyFill="1" applyAlignment="1" applyProtection="1">
      <alignment vertical="center"/>
    </xf>
    <xf numFmtId="0" fontId="1" fillId="0" borderId="0" xfId="0" applyFont="1" applyAlignment="1" applyProtection="1">
      <alignment vertical="center"/>
    </xf>
    <xf numFmtId="0" fontId="1" fillId="0" borderId="21" xfId="0" applyFont="1" applyBorder="1" applyAlignment="1" applyProtection="1">
      <alignment horizontal="right" vertical="center" wrapText="1"/>
    </xf>
    <xf numFmtId="0" fontId="5" fillId="0" borderId="21" xfId="0" applyFont="1" applyBorder="1" applyAlignment="1" applyProtection="1">
      <alignment horizontal="right" vertical="center" wrapText="1"/>
    </xf>
    <xf numFmtId="0" fontId="5" fillId="0" borderId="1" xfId="0" applyFont="1" applyBorder="1" applyAlignment="1" applyProtection="1">
      <alignment horizontal="right" vertical="center" wrapText="1"/>
    </xf>
    <xf numFmtId="3" fontId="1" fillId="0" borderId="45" xfId="0" applyNumberFormat="1" applyFont="1" applyBorder="1" applyAlignment="1" applyProtection="1">
      <alignment horizontal="center" vertical="center" wrapText="1"/>
    </xf>
    <xf numFmtId="0" fontId="1" fillId="0" borderId="1" xfId="0" applyFont="1" applyBorder="1" applyAlignment="1" applyProtection="1">
      <alignment horizontal="right" vertical="top" wrapText="1"/>
    </xf>
    <xf numFmtId="0" fontId="1" fillId="0" borderId="1" xfId="0" applyFont="1" applyBorder="1" applyAlignment="1" applyProtection="1">
      <alignment horizontal="right" wrapText="1"/>
    </xf>
    <xf numFmtId="0" fontId="31" fillId="0" borderId="0" xfId="0" applyFont="1" applyAlignment="1" applyProtection="1">
      <alignment horizontal="right" vertical="center"/>
    </xf>
    <xf numFmtId="0" fontId="31" fillId="0" borderId="0" xfId="0" applyFont="1" applyBorder="1" applyAlignment="1" applyProtection="1">
      <alignment horizontal="right" vertical="center"/>
    </xf>
    <xf numFmtId="164" fontId="31" fillId="0" borderId="36" xfId="0" applyNumberFormat="1" applyFont="1" applyBorder="1" applyAlignment="1" applyProtection="1">
      <alignment vertical="center"/>
    </xf>
    <xf numFmtId="164" fontId="31" fillId="17" borderId="36" xfId="0" applyNumberFormat="1" applyFont="1" applyFill="1" applyBorder="1" applyAlignment="1" applyProtection="1">
      <alignment vertical="center"/>
    </xf>
    <xf numFmtId="0" fontId="12" fillId="0" borderId="1" xfId="0" applyFont="1" applyBorder="1" applyAlignment="1" applyProtection="1">
      <alignment horizontal="right" vertical="center" wrapText="1"/>
    </xf>
    <xf numFmtId="0" fontId="12" fillId="0" borderId="0" xfId="0" applyFont="1" applyBorder="1" applyAlignment="1" applyProtection="1">
      <alignment horizontal="center" vertical="center" wrapText="1"/>
    </xf>
    <xf numFmtId="0" fontId="12" fillId="0" borderId="0" xfId="0" applyFont="1" applyBorder="1" applyAlignment="1" applyProtection="1">
      <alignment horizontal="right" vertical="center" wrapText="1"/>
    </xf>
    <xf numFmtId="0" fontId="34" fillId="0" borderId="1" xfId="0" applyFont="1" applyBorder="1" applyAlignment="1" applyProtection="1">
      <alignment horizontal="right" vertical="center" wrapText="1"/>
    </xf>
    <xf numFmtId="0" fontId="30" fillId="0" borderId="0" xfId="0" applyFont="1" applyBorder="1" applyAlignment="1" applyProtection="1">
      <alignment horizontal="center" vertical="center"/>
    </xf>
    <xf numFmtId="164" fontId="30" fillId="0" borderId="0" xfId="0" applyNumberFormat="1" applyFont="1" applyAlignment="1" applyProtection="1">
      <alignment vertical="center"/>
    </xf>
    <xf numFmtId="0" fontId="35" fillId="0" borderId="0" xfId="0" applyFont="1" applyFill="1" applyBorder="1" applyAlignment="1" applyProtection="1">
      <alignment horizontal="right" vertical="center" wrapText="1"/>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164" fontId="31" fillId="0" borderId="36" xfId="0" applyNumberFormat="1" applyFont="1" applyFill="1" applyBorder="1" applyAlignment="1" applyProtection="1">
      <alignment vertical="center"/>
    </xf>
    <xf numFmtId="0" fontId="31" fillId="0" borderId="0" xfId="0" applyFont="1" applyFill="1" applyAlignment="1" applyProtection="1">
      <alignment vertical="center"/>
    </xf>
    <xf numFmtId="0" fontId="12" fillId="0" borderId="1" xfId="0" applyFont="1" applyFill="1" applyBorder="1" applyAlignment="1" applyProtection="1">
      <alignment horizontal="right" vertical="center" wrapText="1"/>
    </xf>
    <xf numFmtId="165" fontId="17" fillId="0" borderId="53"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vertical="center"/>
    </xf>
    <xf numFmtId="0" fontId="31" fillId="15" borderId="0" xfId="0" applyFont="1" applyFill="1" applyAlignment="1" applyProtection="1">
      <alignment horizontal="right" vertical="center"/>
    </xf>
    <xf numFmtId="164" fontId="31" fillId="15" borderId="36" xfId="0" applyNumberFormat="1" applyFont="1" applyFill="1" applyBorder="1" applyAlignment="1" applyProtection="1">
      <alignment vertical="center"/>
    </xf>
    <xf numFmtId="0" fontId="35" fillId="0" borderId="0" xfId="0" applyFont="1" applyBorder="1" applyAlignment="1" applyProtection="1">
      <alignment vertical="center"/>
    </xf>
    <xf numFmtId="0" fontId="26" fillId="0" borderId="0" xfId="0" applyFont="1" applyBorder="1" applyAlignment="1" applyProtection="1">
      <alignment horizontal="center" vertical="center"/>
    </xf>
    <xf numFmtId="0" fontId="26" fillId="0" borderId="0" xfId="0" applyFont="1" applyBorder="1" applyAlignment="1" applyProtection="1">
      <alignment vertical="center"/>
    </xf>
    <xf numFmtId="0" fontId="26" fillId="0" borderId="0" xfId="0" applyFont="1" applyAlignment="1" applyProtection="1">
      <alignment vertical="center"/>
    </xf>
    <xf numFmtId="0" fontId="12" fillId="0" borderId="0" xfId="0" applyFont="1" applyAlignment="1" applyProtection="1">
      <alignment vertical="center"/>
    </xf>
    <xf numFmtId="0" fontId="35" fillId="0" borderId="0" xfId="0" applyFont="1" applyAlignment="1" applyProtection="1">
      <alignment horizontal="right" vertical="center"/>
    </xf>
    <xf numFmtId="0" fontId="35" fillId="0" borderId="0" xfId="0" applyFont="1" applyBorder="1" applyAlignment="1" applyProtection="1">
      <alignment horizontal="center" vertical="center"/>
    </xf>
    <xf numFmtId="0" fontId="35" fillId="0" borderId="0" xfId="0" applyFont="1" applyBorder="1" applyAlignment="1" applyProtection="1">
      <alignment horizontal="right" vertical="center"/>
    </xf>
    <xf numFmtId="164" fontId="35" fillId="0" borderId="36" xfId="0" applyNumberFormat="1" applyFont="1" applyBorder="1" applyAlignment="1" applyProtection="1">
      <alignment vertical="center"/>
    </xf>
    <xf numFmtId="0" fontId="35" fillId="0" borderId="0" xfId="0" applyFont="1" applyAlignment="1" applyProtection="1">
      <alignment vertical="center"/>
    </xf>
    <xf numFmtId="0" fontId="30" fillId="0" borderId="0" xfId="0" applyFont="1" applyProtection="1"/>
    <xf numFmtId="0" fontId="30" fillId="0" borderId="0" xfId="0" applyFont="1" applyBorder="1" applyAlignment="1" applyProtection="1">
      <alignment horizontal="center"/>
    </xf>
    <xf numFmtId="0" fontId="30" fillId="0" borderId="0" xfId="0" applyFont="1" applyBorder="1" applyProtection="1"/>
    <xf numFmtId="0" fontId="31" fillId="0" borderId="36" xfId="0" applyFont="1" applyBorder="1" applyAlignment="1" applyProtection="1">
      <alignment horizontal="center" vertical="center"/>
    </xf>
    <xf numFmtId="0" fontId="4" fillId="0" borderId="1" xfId="0" applyFont="1" applyBorder="1" applyAlignment="1" applyProtection="1">
      <alignment horizontal="right" vertical="center" wrapText="1"/>
    </xf>
    <xf numFmtId="3" fontId="2" fillId="0" borderId="1" xfId="0" applyNumberFormat="1" applyFont="1" applyBorder="1" applyAlignment="1" applyProtection="1">
      <alignment horizontal="right" vertical="center" wrapText="1"/>
    </xf>
    <xf numFmtId="0" fontId="1" fillId="0" borderId="40" xfId="0" applyFont="1" applyBorder="1" applyAlignment="1" applyProtection="1">
      <alignment horizontal="right" vertical="top" wrapText="1"/>
    </xf>
    <xf numFmtId="0" fontId="1" fillId="0" borderId="41" xfId="0" applyFont="1" applyBorder="1" applyAlignment="1" applyProtection="1">
      <alignment horizontal="right" wrapText="1"/>
    </xf>
    <xf numFmtId="0" fontId="1" fillId="0" borderId="0" xfId="0" applyFont="1" applyBorder="1" applyAlignment="1" applyProtection="1">
      <alignment horizontal="center" vertical="center" wrapText="1"/>
    </xf>
    <xf numFmtId="0" fontId="1" fillId="0" borderId="0" xfId="0" applyFont="1" applyBorder="1" applyAlignment="1" applyProtection="1">
      <alignment horizontal="right" vertical="center" wrapText="1"/>
    </xf>
    <xf numFmtId="3" fontId="2" fillId="0" borderId="1" xfId="0" applyNumberFormat="1" applyFont="1" applyFill="1" applyBorder="1" applyAlignment="1" applyProtection="1">
      <alignment horizontal="right" vertical="center" wrapText="1"/>
    </xf>
    <xf numFmtId="164" fontId="1" fillId="0" borderId="21" xfId="0" applyNumberFormat="1" applyFont="1" applyFill="1" applyBorder="1" applyAlignment="1" applyProtection="1">
      <alignment vertical="center"/>
    </xf>
    <xf numFmtId="0" fontId="15" fillId="0" borderId="0" xfId="0" applyFont="1" applyFill="1" applyBorder="1" applyAlignment="1" applyProtection="1">
      <alignment horizontal="right" vertical="center" wrapText="1"/>
    </xf>
    <xf numFmtId="164" fontId="3" fillId="0" borderId="36" xfId="0" applyNumberFormat="1" applyFont="1" applyFill="1" applyBorder="1" applyAlignment="1" applyProtection="1">
      <alignment vertical="center"/>
    </xf>
    <xf numFmtId="165" fontId="17" fillId="0" borderId="0" xfId="0" applyNumberFormat="1" applyFont="1" applyFill="1" applyBorder="1" applyAlignment="1" applyProtection="1">
      <alignment horizontal="right" vertical="center" wrapText="1"/>
    </xf>
    <xf numFmtId="164" fontId="31" fillId="15" borderId="36" xfId="0" applyNumberFormat="1" applyFont="1" applyFill="1" applyBorder="1" applyAlignment="1" applyProtection="1">
      <alignment horizontal="right" vertical="center"/>
    </xf>
    <xf numFmtId="0" fontId="14" fillId="0" borderId="0" xfId="0" applyFont="1" applyAlignment="1" applyProtection="1">
      <alignment vertical="center"/>
    </xf>
    <xf numFmtId="0" fontId="3" fillId="0" borderId="0" xfId="0" applyFont="1" applyAlignment="1" applyProtection="1">
      <alignmen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xf>
    <xf numFmtId="0" fontId="12" fillId="0" borderId="0" xfId="0" applyFont="1" applyAlignment="1" applyProtection="1">
      <alignment vertical="top"/>
    </xf>
    <xf numFmtId="0" fontId="4" fillId="0" borderId="0" xfId="0" applyFont="1" applyAlignment="1" applyProtection="1">
      <alignment vertical="center" wrapText="1"/>
    </xf>
    <xf numFmtId="0" fontId="4" fillId="0" borderId="0" xfId="0" applyFont="1" applyAlignment="1" applyProtection="1">
      <alignment horizontal="left" vertical="center" wrapText="1"/>
    </xf>
    <xf numFmtId="0" fontId="10" fillId="0" borderId="0" xfId="0" applyFont="1" applyAlignment="1" applyProtection="1">
      <alignment vertical="center"/>
    </xf>
    <xf numFmtId="0" fontId="1" fillId="0" borderId="0" xfId="0" applyFont="1" applyAlignment="1" applyProtection="1">
      <alignment horizontal="center" vertical="center"/>
    </xf>
    <xf numFmtId="0" fontId="3" fillId="0" borderId="0" xfId="0" applyFont="1" applyFill="1" applyAlignment="1" applyProtection="1">
      <alignment vertical="center"/>
    </xf>
    <xf numFmtId="0" fontId="6" fillId="0" borderId="17" xfId="0"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2" fillId="0" borderId="0" xfId="0" applyFont="1" applyAlignment="1" applyProtection="1">
      <alignment vertical="center"/>
    </xf>
    <xf numFmtId="3" fontId="19" fillId="0" borderId="8" xfId="0" applyNumberFormat="1" applyFont="1" applyFill="1" applyBorder="1" applyAlignment="1" applyProtection="1">
      <alignment horizontal="center" vertical="center"/>
    </xf>
    <xf numFmtId="3" fontId="19" fillId="0" borderId="27" xfId="0" applyNumberFormat="1" applyFont="1" applyFill="1" applyBorder="1" applyAlignment="1" applyProtection="1">
      <alignment horizontal="center" vertical="center"/>
    </xf>
    <xf numFmtId="3" fontId="19" fillId="0" borderId="18" xfId="0" applyNumberFormat="1" applyFont="1" applyFill="1" applyBorder="1" applyAlignment="1" applyProtection="1">
      <alignment horizontal="center" vertical="center"/>
    </xf>
    <xf numFmtId="3" fontId="74" fillId="0" borderId="27" xfId="0" applyNumberFormat="1" applyFont="1" applyFill="1" applyBorder="1" applyAlignment="1" applyProtection="1">
      <alignment vertical="center"/>
    </xf>
    <xf numFmtId="3" fontId="14" fillId="0" borderId="27" xfId="0" applyNumberFormat="1" applyFont="1" applyFill="1" applyBorder="1" applyAlignment="1" applyProtection="1">
      <alignment vertical="center"/>
    </xf>
    <xf numFmtId="10" fontId="14" fillId="0" borderId="18" xfId="0" applyNumberFormat="1" applyFont="1" applyBorder="1" applyAlignment="1" applyProtection="1">
      <alignment horizontal="center" vertical="center"/>
    </xf>
    <xf numFmtId="3" fontId="19" fillId="0" borderId="12" xfId="0" applyNumberFormat="1" applyFont="1" applyFill="1" applyBorder="1" applyAlignment="1" applyProtection="1">
      <alignment horizontal="center" vertical="center"/>
    </xf>
    <xf numFmtId="3" fontId="19" fillId="0" borderId="1" xfId="0" applyNumberFormat="1" applyFont="1" applyFill="1" applyBorder="1" applyAlignment="1" applyProtection="1">
      <alignment horizontal="center" vertical="center"/>
    </xf>
    <xf numFmtId="3" fontId="74" fillId="0" borderId="3" xfId="0" applyNumberFormat="1" applyFont="1" applyBorder="1" applyAlignment="1" applyProtection="1">
      <alignment vertical="center"/>
    </xf>
    <xf numFmtId="3" fontId="14" fillId="0" borderId="3" xfId="0" applyNumberFormat="1" applyFont="1" applyBorder="1" applyAlignment="1" applyProtection="1">
      <alignment vertical="center"/>
    </xf>
    <xf numFmtId="10" fontId="14" fillId="0" borderId="2" xfId="0" applyNumberFormat="1" applyFont="1" applyBorder="1" applyAlignment="1" applyProtection="1">
      <alignment horizontal="center" vertical="center"/>
    </xf>
    <xf numFmtId="3" fontId="19" fillId="0" borderId="30" xfId="0" applyNumberFormat="1" applyFont="1" applyFill="1" applyBorder="1" applyAlignment="1" applyProtection="1">
      <alignment horizontal="center" vertical="center"/>
    </xf>
    <xf numFmtId="3" fontId="14" fillId="0" borderId="1" xfId="0" applyNumberFormat="1" applyFont="1" applyBorder="1" applyAlignment="1" applyProtection="1">
      <alignment vertical="center"/>
    </xf>
    <xf numFmtId="10" fontId="14" fillId="0" borderId="1" xfId="0" applyNumberFormat="1" applyFont="1" applyBorder="1" applyAlignment="1" applyProtection="1">
      <alignment horizontal="center" vertical="center"/>
    </xf>
    <xf numFmtId="10" fontId="14" fillId="0" borderId="21" xfId="0" applyNumberFormat="1" applyFont="1" applyBorder="1" applyAlignment="1" applyProtection="1">
      <alignment horizontal="center" vertical="center"/>
    </xf>
    <xf numFmtId="10" fontId="79" fillId="0" borderId="1" xfId="0" applyNumberFormat="1" applyFont="1" applyBorder="1" applyAlignment="1" applyProtection="1">
      <alignment horizontal="center" vertical="center"/>
    </xf>
    <xf numFmtId="3" fontId="19" fillId="0" borderId="14" xfId="0" applyNumberFormat="1" applyFont="1" applyFill="1" applyBorder="1" applyAlignment="1" applyProtection="1">
      <alignment horizontal="center" vertical="center"/>
    </xf>
    <xf numFmtId="3" fontId="19" fillId="0" borderId="20" xfId="0" applyNumberFormat="1" applyFont="1" applyFill="1" applyBorder="1" applyAlignment="1" applyProtection="1">
      <alignment horizontal="center" vertical="center"/>
    </xf>
    <xf numFmtId="3" fontId="74" fillId="0" borderId="29" xfId="0" applyNumberFormat="1" applyFont="1" applyBorder="1" applyAlignment="1" applyProtection="1">
      <alignment vertical="center"/>
    </xf>
    <xf numFmtId="3" fontId="14" fillId="0" borderId="29" xfId="0" applyNumberFormat="1" applyFont="1" applyBorder="1" applyAlignment="1" applyProtection="1">
      <alignment vertical="center"/>
    </xf>
    <xf numFmtId="3" fontId="14" fillId="0" borderId="20" xfId="0" applyNumberFormat="1" applyFont="1" applyBorder="1" applyAlignment="1" applyProtection="1">
      <alignment vertical="center"/>
    </xf>
    <xf numFmtId="10" fontId="14" fillId="0" borderId="48" xfId="0" applyNumberFormat="1" applyFont="1" applyBorder="1" applyAlignment="1" applyProtection="1">
      <alignment horizontal="center" vertical="center"/>
    </xf>
    <xf numFmtId="0" fontId="3" fillId="0" borderId="33" xfId="0" applyFont="1" applyBorder="1" applyAlignment="1" applyProtection="1">
      <alignment vertical="center"/>
    </xf>
    <xf numFmtId="0" fontId="6" fillId="0" borderId="33" xfId="0" applyFont="1" applyBorder="1" applyAlignment="1" applyProtection="1">
      <alignment vertical="center"/>
    </xf>
    <xf numFmtId="3" fontId="75" fillId="0" borderId="36" xfId="0" applyNumberFormat="1" applyFont="1" applyFill="1" applyBorder="1" applyAlignment="1" applyProtection="1">
      <alignment vertical="center"/>
    </xf>
    <xf numFmtId="3" fontId="21" fillId="0" borderId="36" xfId="0" applyNumberFormat="1" applyFont="1" applyFill="1" applyBorder="1" applyAlignment="1" applyProtection="1">
      <alignment vertical="center"/>
    </xf>
    <xf numFmtId="3" fontId="19" fillId="0" borderId="0" xfId="0" applyNumberFormat="1" applyFont="1" applyFill="1" applyAlignment="1" applyProtection="1">
      <alignment vertical="center"/>
    </xf>
    <xf numFmtId="0" fontId="3" fillId="0" borderId="0" xfId="0" applyFont="1" applyFill="1" applyAlignment="1" applyProtection="1">
      <alignment horizontal="left" vertical="center"/>
    </xf>
    <xf numFmtId="0" fontId="6" fillId="0" borderId="0" xfId="0" applyFont="1" applyAlignment="1" applyProtection="1">
      <alignment vertical="center"/>
    </xf>
    <xf numFmtId="3" fontId="1" fillId="0" borderId="0" xfId="0" applyNumberFormat="1" applyFont="1" applyFill="1" applyAlignment="1" applyProtection="1">
      <alignment vertical="center"/>
    </xf>
    <xf numFmtId="3" fontId="19" fillId="0" borderId="17" xfId="0" applyNumberFormat="1" applyFont="1" applyFill="1" applyBorder="1" applyAlignment="1" applyProtection="1">
      <alignment horizontal="center" vertical="center"/>
    </xf>
    <xf numFmtId="3" fontId="19" fillId="0" borderId="86" xfId="0" applyNumberFormat="1" applyFont="1" applyFill="1" applyBorder="1" applyAlignment="1" applyProtection="1">
      <alignment horizontal="center" vertical="center"/>
    </xf>
    <xf numFmtId="3" fontId="74" fillId="0" borderId="1" xfId="0" applyNumberFormat="1" applyFont="1" applyFill="1" applyBorder="1" applyAlignment="1" applyProtection="1">
      <alignment horizontal="center" vertical="center"/>
    </xf>
    <xf numFmtId="3" fontId="74" fillId="0" borderId="86" xfId="0" applyNumberFormat="1" applyFont="1" applyFill="1" applyBorder="1" applyAlignment="1" applyProtection="1">
      <alignment horizontal="center" vertical="center"/>
    </xf>
    <xf numFmtId="3" fontId="14" fillId="0" borderId="19" xfId="0" applyNumberFormat="1" applyFont="1" applyFill="1" applyBorder="1" applyAlignment="1" applyProtection="1">
      <alignment vertical="center"/>
    </xf>
    <xf numFmtId="3" fontId="14" fillId="0" borderId="13" xfId="0" applyNumberFormat="1" applyFont="1" applyFill="1" applyBorder="1" applyAlignment="1" applyProtection="1">
      <alignment vertical="center"/>
    </xf>
    <xf numFmtId="3" fontId="19" fillId="0" borderId="48" xfId="0" applyNumberFormat="1" applyFont="1" applyFill="1" applyBorder="1" applyAlignment="1" applyProtection="1">
      <alignment horizontal="center" vertical="center"/>
    </xf>
    <xf numFmtId="3" fontId="74" fillId="0" borderId="20" xfId="0" applyNumberFormat="1" applyFont="1" applyFill="1" applyBorder="1" applyAlignment="1" applyProtection="1">
      <alignment horizontal="center" vertical="center"/>
    </xf>
    <xf numFmtId="3" fontId="14" fillId="0" borderId="15" xfId="0" applyNumberFormat="1" applyFont="1" applyFill="1" applyBorder="1" applyAlignment="1" applyProtection="1">
      <alignment vertical="center"/>
    </xf>
    <xf numFmtId="0" fontId="14" fillId="0" borderId="33" xfId="0" applyFont="1" applyBorder="1" applyAlignment="1" applyProtection="1">
      <alignment vertical="center"/>
    </xf>
    <xf numFmtId="0" fontId="20" fillId="0" borderId="33" xfId="0" applyFont="1" applyBorder="1" applyAlignment="1" applyProtection="1">
      <alignment vertical="center"/>
    </xf>
    <xf numFmtId="3" fontId="75" fillId="0" borderId="33" xfId="0" applyNumberFormat="1" applyFont="1" applyFill="1" applyBorder="1" applyAlignment="1" applyProtection="1">
      <alignment vertical="center"/>
    </xf>
    <xf numFmtId="3" fontId="21" fillId="0" borderId="34" xfId="0" applyNumberFormat="1" applyFont="1" applyFill="1" applyBorder="1" applyAlignment="1" applyProtection="1">
      <alignment vertical="center"/>
    </xf>
    <xf numFmtId="0" fontId="0" fillId="0" borderId="0" xfId="0" applyFont="1" applyProtection="1"/>
    <xf numFmtId="0" fontId="68" fillId="0" borderId="36" xfId="0" applyFont="1" applyBorder="1" applyAlignment="1" applyProtection="1">
      <alignment horizontal="center" vertical="center"/>
    </xf>
    <xf numFmtId="0" fontId="68" fillId="17" borderId="36" xfId="0" applyFont="1" applyFill="1" applyBorder="1" applyAlignment="1" applyProtection="1">
      <alignment horizontal="center" vertical="center"/>
    </xf>
    <xf numFmtId="0" fontId="69" fillId="0" borderId="36" xfId="0" applyFont="1" applyBorder="1" applyAlignment="1" applyProtection="1">
      <alignment horizontal="center" vertical="center"/>
    </xf>
    <xf numFmtId="0" fontId="68" fillId="17" borderId="0" xfId="0" applyFont="1" applyFill="1" applyBorder="1" applyAlignment="1" applyProtection="1">
      <alignment horizontal="center" vertical="center"/>
    </xf>
    <xf numFmtId="9" fontId="0" fillId="0" borderId="0" xfId="0" applyNumberFormat="1" applyFont="1" applyFill="1" applyProtection="1"/>
    <xf numFmtId="165" fontId="69" fillId="0" borderId="0" xfId="0" applyNumberFormat="1" applyFont="1" applyBorder="1" applyAlignment="1" applyProtection="1">
      <alignment horizontal="center" vertical="center"/>
    </xf>
    <xf numFmtId="3" fontId="0" fillId="0" borderId="0" xfId="0" applyNumberFormat="1" applyFont="1" applyProtection="1"/>
    <xf numFmtId="0" fontId="57" fillId="0" borderId="0" xfId="0" applyFont="1" applyProtection="1"/>
    <xf numFmtId="0" fontId="57" fillId="0" borderId="55" xfId="0" applyFont="1" applyBorder="1" applyAlignment="1" applyProtection="1">
      <alignment horizontal="right"/>
    </xf>
    <xf numFmtId="0" fontId="57" fillId="0" borderId="55" xfId="0" applyFont="1" applyBorder="1" applyAlignment="1" applyProtection="1">
      <alignment horizontal="right" wrapText="1"/>
    </xf>
    <xf numFmtId="0" fontId="70" fillId="0" borderId="0" xfId="0" applyFont="1" applyProtection="1"/>
    <xf numFmtId="165" fontId="0" fillId="0" borderId="0" xfId="5" applyNumberFormat="1" applyFont="1" applyFill="1" applyProtection="1"/>
    <xf numFmtId="3" fontId="0" fillId="18" borderId="0" xfId="0" applyNumberFormat="1" applyFont="1" applyFill="1" applyProtection="1"/>
    <xf numFmtId="3" fontId="0" fillId="19" borderId="0" xfId="0" applyNumberFormat="1" applyFont="1" applyFill="1" applyProtection="1"/>
    <xf numFmtId="3" fontId="57" fillId="0" borderId="0" xfId="0" applyNumberFormat="1" applyFont="1" applyProtection="1"/>
    <xf numFmtId="0" fontId="0" fillId="0" borderId="0" xfId="0" applyFont="1" applyAlignment="1" applyProtection="1">
      <alignment horizontal="right"/>
    </xf>
    <xf numFmtId="0" fontId="57" fillId="0" borderId="16" xfId="0" applyFont="1" applyBorder="1" applyProtection="1"/>
    <xf numFmtId="3" fontId="57" fillId="0" borderId="16" xfId="0" applyNumberFormat="1" applyFont="1" applyBorder="1" applyProtection="1"/>
    <xf numFmtId="3" fontId="70" fillId="0" borderId="16" xfId="0" applyNumberFormat="1" applyFont="1" applyBorder="1" applyProtection="1"/>
    <xf numFmtId="3" fontId="71" fillId="0" borderId="16" xfId="0" applyNumberFormat="1" applyFont="1" applyBorder="1" applyProtection="1"/>
    <xf numFmtId="3" fontId="0" fillId="0" borderId="0" xfId="0" applyNumberFormat="1" applyFont="1" applyAlignment="1" applyProtection="1">
      <alignment horizontal="right"/>
    </xf>
    <xf numFmtId="3" fontId="0" fillId="0" borderId="55" xfId="0" applyNumberFormat="1" applyFont="1" applyBorder="1" applyAlignment="1" applyProtection="1">
      <alignment horizontal="right"/>
    </xf>
    <xf numFmtId="0" fontId="0" fillId="0" borderId="55" xfId="0" applyFont="1" applyBorder="1" applyAlignment="1" applyProtection="1">
      <alignment horizontal="right"/>
    </xf>
    <xf numFmtId="0" fontId="72" fillId="0" borderId="0" xfId="0" applyFont="1" applyProtection="1"/>
    <xf numFmtId="165" fontId="0" fillId="0" borderId="16" xfId="5" applyNumberFormat="1" applyFont="1" applyFill="1" applyBorder="1" applyAlignment="1" applyProtection="1"/>
    <xf numFmtId="10" fontId="0" fillId="0" borderId="16" xfId="5" applyNumberFormat="1" applyFont="1" applyFill="1" applyBorder="1" applyProtection="1"/>
    <xf numFmtId="165" fontId="0" fillId="0" borderId="16" xfId="5" applyNumberFormat="1" applyFont="1" applyFill="1" applyBorder="1" applyProtection="1"/>
    <xf numFmtId="3" fontId="0" fillId="4" borderId="16" xfId="0" applyNumberFormat="1" applyFont="1" applyFill="1" applyBorder="1" applyProtection="1"/>
    <xf numFmtId="3" fontId="0" fillId="0" borderId="16" xfId="0" applyNumberFormat="1" applyFont="1" applyBorder="1" applyProtection="1"/>
    <xf numFmtId="3" fontId="0" fillId="0" borderId="16" xfId="0" applyNumberFormat="1" applyFont="1" applyFill="1" applyBorder="1" applyProtection="1"/>
    <xf numFmtId="3" fontId="0" fillId="0" borderId="0" xfId="0" applyNumberFormat="1" applyFont="1" applyFill="1" applyProtection="1"/>
    <xf numFmtId="0" fontId="76" fillId="0" borderId="0" xfId="0" applyFont="1" applyProtection="1"/>
    <xf numFmtId="3" fontId="72" fillId="0" borderId="0" xfId="0" applyNumberFormat="1" applyFont="1" applyProtection="1"/>
    <xf numFmtId="3" fontId="0" fillId="0" borderId="55" xfId="0" applyNumberFormat="1" applyFont="1" applyBorder="1" applyProtection="1"/>
    <xf numFmtId="3" fontId="73" fillId="0" borderId="55" xfId="0" applyNumberFormat="1" applyFont="1" applyBorder="1" applyProtection="1"/>
    <xf numFmtId="3" fontId="57" fillId="20" borderId="0" xfId="0" applyNumberFormat="1" applyFont="1" applyFill="1" applyProtection="1"/>
    <xf numFmtId="3" fontId="0" fillId="20" borderId="0" xfId="0" applyNumberFormat="1" applyFont="1" applyFill="1" applyProtection="1"/>
    <xf numFmtId="3" fontId="70" fillId="0" borderId="0" xfId="0" applyNumberFormat="1" applyFont="1" applyProtection="1"/>
    <xf numFmtId="0" fontId="0" fillId="0" borderId="0" xfId="0" applyProtection="1"/>
    <xf numFmtId="3" fontId="0" fillId="0" borderId="0" xfId="0" applyNumberFormat="1" applyProtection="1"/>
    <xf numFmtId="9" fontId="0" fillId="0" borderId="0" xfId="0" applyNumberFormat="1" applyFill="1" applyProtection="1"/>
    <xf numFmtId="165" fontId="0" fillId="0" borderId="0" xfId="5" applyNumberFormat="1" applyFont="1" applyProtection="1"/>
    <xf numFmtId="165" fontId="57" fillId="0" borderId="0" xfId="5" applyNumberFormat="1" applyFont="1" applyProtection="1"/>
    <xf numFmtId="3" fontId="19" fillId="0" borderId="45" xfId="0" applyNumberFormat="1" applyFont="1" applyFill="1" applyBorder="1" applyAlignment="1" applyProtection="1">
      <alignment horizontal="center" vertical="center"/>
    </xf>
    <xf numFmtId="0" fontId="22" fillId="0" borderId="40" xfId="0" applyFont="1" applyBorder="1" applyAlignment="1" applyProtection="1">
      <alignment vertical="center" wrapText="1"/>
    </xf>
    <xf numFmtId="0" fontId="22" fillId="0" borderId="44" xfId="0" applyFont="1" applyBorder="1" applyAlignment="1" applyProtection="1">
      <alignment vertical="center" wrapText="1"/>
    </xf>
    <xf numFmtId="3" fontId="19" fillId="0" borderId="50" xfId="0" applyNumberFormat="1"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3" fillId="0" borderId="0" xfId="0" applyFont="1" applyFill="1" applyBorder="1" applyAlignment="1" applyProtection="1">
      <alignment vertical="center"/>
    </xf>
    <xf numFmtId="0" fontId="15" fillId="0" borderId="0" xfId="0" applyFont="1" applyFill="1" applyBorder="1" applyAlignment="1" applyProtection="1">
      <alignment vertical="top" wrapText="1"/>
    </xf>
    <xf numFmtId="0" fontId="3" fillId="0" borderId="0" xfId="0" applyFont="1" applyBorder="1" applyAlignment="1" applyProtection="1">
      <alignment vertical="center"/>
    </xf>
    <xf numFmtId="3" fontId="14" fillId="0" borderId="19" xfId="0" applyNumberFormat="1" applyFont="1" applyBorder="1" applyAlignment="1" applyProtection="1">
      <alignment vertical="center"/>
    </xf>
    <xf numFmtId="0" fontId="24" fillId="0" borderId="0" xfId="0" applyFont="1" applyBorder="1" applyAlignment="1" applyProtection="1">
      <alignment vertical="center" wrapText="1"/>
    </xf>
    <xf numFmtId="3" fontId="14" fillId="0" borderId="15" xfId="0" applyNumberFormat="1" applyFont="1" applyBorder="1" applyAlignment="1" applyProtection="1">
      <alignment vertical="center"/>
    </xf>
    <xf numFmtId="3" fontId="14" fillId="0" borderId="0" xfId="0" applyNumberFormat="1" applyFont="1" applyAlignment="1" applyProtection="1">
      <alignment vertical="center"/>
    </xf>
    <xf numFmtId="0" fontId="20" fillId="0" borderId="0" xfId="0" applyFont="1" applyAlignment="1" applyProtection="1">
      <alignment vertical="center"/>
    </xf>
    <xf numFmtId="3" fontId="21" fillId="0" borderId="0" xfId="0" applyNumberFormat="1" applyFont="1" applyFill="1" applyAlignment="1" applyProtection="1">
      <alignment vertical="center"/>
    </xf>
    <xf numFmtId="4" fontId="19" fillId="0" borderId="18" xfId="0" applyNumberFormat="1" applyFont="1" applyFill="1" applyBorder="1" applyAlignment="1" applyProtection="1">
      <alignment horizontal="center" vertical="center"/>
    </xf>
    <xf numFmtId="3" fontId="37" fillId="4" borderId="18" xfId="0" applyNumberFormat="1" applyFont="1" applyFill="1" applyBorder="1" applyAlignment="1" applyProtection="1">
      <alignment horizontal="center" vertical="center"/>
    </xf>
    <xf numFmtId="3" fontId="14" fillId="0" borderId="18" xfId="0" applyNumberFormat="1" applyFont="1" applyBorder="1" applyAlignment="1" applyProtection="1">
      <alignment vertical="center"/>
    </xf>
    <xf numFmtId="3" fontId="14" fillId="0" borderId="18" xfId="0" applyNumberFormat="1" applyFont="1" applyFill="1" applyBorder="1" applyAlignment="1" applyProtection="1">
      <alignment vertical="center"/>
    </xf>
    <xf numFmtId="4" fontId="19" fillId="0" borderId="1" xfId="0" applyNumberFormat="1" applyFont="1" applyFill="1" applyBorder="1" applyAlignment="1" applyProtection="1">
      <alignment horizontal="center" vertical="center"/>
    </xf>
    <xf numFmtId="3" fontId="19" fillId="4" borderId="1" xfId="0" applyNumberFormat="1" applyFont="1" applyFill="1" applyBorder="1" applyAlignment="1" applyProtection="1">
      <alignment horizontal="center" vertical="center"/>
    </xf>
    <xf numFmtId="3" fontId="14" fillId="0" borderId="1" xfId="0" applyNumberFormat="1" applyFont="1" applyFill="1" applyBorder="1" applyAlignment="1" applyProtection="1">
      <alignment vertical="center"/>
    </xf>
    <xf numFmtId="4" fontId="19" fillId="0" borderId="20" xfId="0" applyNumberFormat="1" applyFont="1" applyFill="1" applyBorder="1" applyAlignment="1" applyProtection="1">
      <alignment horizontal="center" vertical="center"/>
    </xf>
    <xf numFmtId="3" fontId="19" fillId="4" borderId="20" xfId="0" applyNumberFormat="1" applyFont="1" applyFill="1" applyBorder="1" applyAlignment="1" applyProtection="1">
      <alignment horizontal="center" vertical="center"/>
    </xf>
    <xf numFmtId="3" fontId="14" fillId="0" borderId="20" xfId="0" applyNumberFormat="1" applyFont="1" applyFill="1" applyBorder="1" applyAlignment="1" applyProtection="1">
      <alignment vertical="center"/>
    </xf>
    <xf numFmtId="4" fontId="21" fillId="0" borderId="0" xfId="0" applyNumberFormat="1" applyFont="1" applyFill="1" applyAlignment="1" applyProtection="1">
      <alignment horizontal="center" vertical="center"/>
    </xf>
    <xf numFmtId="0" fontId="1" fillId="0" borderId="5" xfId="0" applyFont="1" applyBorder="1" applyAlignment="1" applyProtection="1">
      <alignment vertical="center"/>
    </xf>
    <xf numFmtId="0" fontId="1" fillId="0" borderId="22" xfId="0" applyFont="1" applyBorder="1" applyAlignment="1" applyProtection="1">
      <alignment vertical="center"/>
    </xf>
    <xf numFmtId="0" fontId="2" fillId="0" borderId="22" xfId="0" applyFont="1" applyBorder="1" applyAlignment="1" applyProtection="1">
      <alignment vertical="center"/>
    </xf>
    <xf numFmtId="0" fontId="3" fillId="4" borderId="32" xfId="0" applyFont="1" applyFill="1" applyBorder="1" applyAlignment="1" applyProtection="1">
      <alignment vertical="center"/>
    </xf>
    <xf numFmtId="0" fontId="3" fillId="4" borderId="33" xfId="0" applyFont="1" applyFill="1" applyBorder="1" applyAlignment="1" applyProtection="1">
      <alignment vertical="center"/>
    </xf>
    <xf numFmtId="0" fontId="1" fillId="0" borderId="6" xfId="0" applyFont="1" applyBorder="1" applyAlignment="1" applyProtection="1">
      <alignment vertical="center"/>
    </xf>
    <xf numFmtId="0" fontId="1" fillId="0" borderId="0" xfId="0" applyFont="1" applyBorder="1" applyAlignment="1" applyProtection="1">
      <alignment vertical="center"/>
    </xf>
    <xf numFmtId="0" fontId="2" fillId="0" borderId="0" xfId="0" applyFont="1" applyBorder="1" applyAlignment="1" applyProtection="1">
      <alignment vertical="center"/>
    </xf>
    <xf numFmtId="0" fontId="1" fillId="4" borderId="6" xfId="0" applyFont="1" applyFill="1" applyBorder="1" applyAlignment="1" applyProtection="1">
      <alignment horizontal="left" vertical="top" wrapText="1"/>
    </xf>
    <xf numFmtId="0" fontId="1" fillId="4" borderId="26" xfId="0" applyFont="1" applyFill="1" applyBorder="1" applyAlignment="1" applyProtection="1">
      <alignment vertical="center"/>
    </xf>
    <xf numFmtId="0" fontId="1" fillId="4" borderId="6" xfId="0" applyFont="1" applyFill="1" applyBorder="1" applyAlignment="1" applyProtection="1">
      <alignment vertical="top"/>
    </xf>
    <xf numFmtId="0" fontId="1" fillId="4" borderId="0" xfId="0" applyFont="1" applyFill="1" applyBorder="1" applyAlignment="1" applyProtection="1">
      <alignment vertical="top"/>
    </xf>
    <xf numFmtId="0" fontId="1" fillId="4" borderId="0" xfId="0" applyFont="1" applyFill="1" applyBorder="1" applyAlignment="1" applyProtection="1">
      <alignment horizontal="left" vertical="top"/>
    </xf>
    <xf numFmtId="0" fontId="1" fillId="4" borderId="6" xfId="0" applyFont="1" applyFill="1" applyBorder="1" applyAlignment="1" applyProtection="1">
      <alignment horizontal="left" vertical="top"/>
    </xf>
    <xf numFmtId="3" fontId="3" fillId="4" borderId="52" xfId="0" applyNumberFormat="1" applyFont="1" applyFill="1" applyBorder="1" applyAlignment="1" applyProtection="1">
      <alignment horizontal="center" vertical="top"/>
    </xf>
    <xf numFmtId="0" fontId="1" fillId="0" borderId="7" xfId="0" applyFont="1" applyBorder="1" applyAlignment="1" applyProtection="1">
      <alignment vertical="center"/>
    </xf>
    <xf numFmtId="0" fontId="1" fillId="0" borderId="24" xfId="0" applyFont="1" applyBorder="1" applyAlignment="1" applyProtection="1">
      <alignment vertical="center"/>
    </xf>
    <xf numFmtId="0" fontId="2" fillId="0" borderId="24" xfId="0" applyFont="1" applyBorder="1" applyAlignment="1" applyProtection="1">
      <alignment vertical="center"/>
    </xf>
    <xf numFmtId="0" fontId="1" fillId="4" borderId="7" xfId="0" applyFont="1" applyFill="1" applyBorder="1" applyAlignment="1" applyProtection="1">
      <alignment vertical="top"/>
    </xf>
    <xf numFmtId="0" fontId="1" fillId="4" borderId="24" xfId="0" applyFont="1" applyFill="1" applyBorder="1" applyAlignment="1" applyProtection="1">
      <alignment vertical="top"/>
    </xf>
    <xf numFmtId="0" fontId="1" fillId="4" borderId="24" xfId="0" applyFont="1" applyFill="1" applyBorder="1" applyAlignment="1" applyProtection="1">
      <alignment horizontal="left" vertical="top"/>
    </xf>
    <xf numFmtId="0" fontId="1" fillId="4" borderId="7" xfId="0" applyFont="1" applyFill="1" applyBorder="1" applyAlignment="1" applyProtection="1">
      <alignment horizontal="left" vertical="top"/>
    </xf>
    <xf numFmtId="0" fontId="1" fillId="4" borderId="25" xfId="0" applyFont="1" applyFill="1" applyBorder="1" applyAlignment="1" applyProtection="1">
      <alignment vertical="center"/>
    </xf>
    <xf numFmtId="0" fontId="3" fillId="0" borderId="0" xfId="0" applyFont="1" applyFill="1" applyBorder="1" applyAlignment="1" applyProtection="1">
      <alignment horizontal="center" vertical="center"/>
    </xf>
    <xf numFmtId="3" fontId="19" fillId="0" borderId="69" xfId="0" applyNumberFormat="1" applyFont="1" applyFill="1" applyBorder="1" applyAlignment="1" applyProtection="1">
      <alignment horizontal="center" vertical="center"/>
    </xf>
    <xf numFmtId="171" fontId="19" fillId="0" borderId="69" xfId="0" applyNumberFormat="1" applyFont="1" applyFill="1" applyBorder="1" applyAlignment="1" applyProtection="1">
      <alignment horizontal="center" vertical="center"/>
    </xf>
    <xf numFmtId="3" fontId="14" fillId="0" borderId="63" xfId="0" applyNumberFormat="1" applyFont="1" applyFill="1" applyBorder="1" applyAlignment="1" applyProtection="1">
      <alignment vertical="center"/>
    </xf>
    <xf numFmtId="0" fontId="5" fillId="0" borderId="11" xfId="0" applyFont="1" applyBorder="1" applyAlignment="1" applyProtection="1">
      <alignment vertical="center" wrapText="1"/>
    </xf>
    <xf numFmtId="3" fontId="19" fillId="0" borderId="21" xfId="0" applyNumberFormat="1" applyFont="1" applyFill="1" applyBorder="1" applyAlignment="1" applyProtection="1">
      <alignment horizontal="center" vertical="center"/>
    </xf>
    <xf numFmtId="171" fontId="19" fillId="0" borderId="21" xfId="0" applyNumberFormat="1" applyFont="1" applyFill="1" applyBorder="1" applyAlignment="1" applyProtection="1">
      <alignment horizontal="center" vertical="center"/>
    </xf>
    <xf numFmtId="3" fontId="14" fillId="0" borderId="21" xfId="0" applyNumberFormat="1" applyFont="1" applyFill="1" applyBorder="1" applyAlignment="1" applyProtection="1">
      <alignment vertical="center"/>
    </xf>
    <xf numFmtId="0" fontId="5" fillId="0" borderId="15" xfId="0" applyFont="1" applyBorder="1" applyAlignment="1" applyProtection="1">
      <alignment vertical="center" wrapText="1"/>
    </xf>
    <xf numFmtId="3" fontId="6" fillId="0" borderId="36" xfId="0" applyNumberFormat="1" applyFont="1" applyFill="1" applyBorder="1" applyAlignment="1" applyProtection="1">
      <alignment horizontal="center" vertical="center" wrapText="1"/>
    </xf>
    <xf numFmtId="171" fontId="6" fillId="0" borderId="36" xfId="0" applyNumberFormat="1" applyFont="1" applyFill="1" applyBorder="1" applyAlignment="1" applyProtection="1">
      <alignment horizontal="center" vertical="center" wrapText="1"/>
    </xf>
    <xf numFmtId="3" fontId="6" fillId="0" borderId="36" xfId="0" applyNumberFormat="1" applyFont="1" applyFill="1" applyBorder="1" applyAlignment="1" applyProtection="1">
      <alignment vertical="center" wrapText="1"/>
    </xf>
    <xf numFmtId="0" fontId="6" fillId="0" borderId="36" xfId="0" applyFont="1" applyBorder="1" applyAlignment="1" applyProtection="1">
      <alignment vertical="center" wrapText="1"/>
    </xf>
    <xf numFmtId="3" fontId="19" fillId="0" borderId="2" xfId="0" applyNumberFormat="1" applyFont="1" applyFill="1" applyBorder="1" applyAlignment="1" applyProtection="1">
      <alignment horizontal="center" vertical="center"/>
    </xf>
    <xf numFmtId="171" fontId="19" fillId="0" borderId="2" xfId="0" applyNumberFormat="1" applyFont="1" applyFill="1" applyBorder="1" applyAlignment="1" applyProtection="1">
      <alignment horizontal="center" vertical="center"/>
    </xf>
    <xf numFmtId="3" fontId="14" fillId="0" borderId="2" xfId="0" applyNumberFormat="1" applyFont="1" applyFill="1" applyBorder="1" applyAlignment="1" applyProtection="1">
      <alignment vertical="center"/>
    </xf>
    <xf numFmtId="0" fontId="5" fillId="0" borderId="19" xfId="0" applyFont="1" applyBorder="1" applyAlignment="1" applyProtection="1">
      <alignment vertical="center" wrapText="1"/>
    </xf>
    <xf numFmtId="171" fontId="19" fillId="0" borderId="1" xfId="0" applyNumberFormat="1" applyFont="1" applyFill="1" applyBorder="1" applyAlignment="1" applyProtection="1">
      <alignment horizontal="center" vertical="center"/>
    </xf>
    <xf numFmtId="0" fontId="5" fillId="0" borderId="13" xfId="0" applyFont="1" applyBorder="1" applyAlignment="1" applyProtection="1">
      <alignment vertical="center" wrapText="1"/>
    </xf>
    <xf numFmtId="3" fontId="19" fillId="0" borderId="63" xfId="0" applyNumberFormat="1" applyFont="1" applyFill="1" applyBorder="1" applyAlignment="1" applyProtection="1">
      <alignment horizontal="center" vertical="center"/>
    </xf>
    <xf numFmtId="0" fontId="1" fillId="0" borderId="0" xfId="0" applyFont="1" applyAlignment="1" applyProtection="1">
      <alignment vertical="center" wrapText="1"/>
    </xf>
    <xf numFmtId="3" fontId="19" fillId="0" borderId="20" xfId="0" applyNumberFormat="1" applyFont="1" applyFill="1" applyBorder="1" applyAlignment="1" applyProtection="1">
      <alignment horizontal="center" vertical="center" wrapText="1"/>
    </xf>
    <xf numFmtId="3" fontId="14" fillId="0" borderId="20" xfId="0" applyNumberFormat="1" applyFont="1" applyBorder="1" applyAlignment="1" applyProtection="1">
      <alignment vertical="center" wrapText="1"/>
    </xf>
    <xf numFmtId="0" fontId="5" fillId="0" borderId="66" xfId="0" applyFont="1" applyBorder="1" applyAlignment="1" applyProtection="1">
      <alignment vertical="center" wrapText="1"/>
    </xf>
    <xf numFmtId="3" fontId="14" fillId="0" borderId="32" xfId="0" applyNumberFormat="1" applyFont="1" applyFill="1" applyBorder="1" applyAlignment="1" applyProtection="1">
      <alignment horizontal="left" vertical="center" wrapText="1"/>
    </xf>
    <xf numFmtId="171" fontId="14" fillId="0" borderId="33" xfId="0" applyNumberFormat="1" applyFont="1" applyFill="1" applyBorder="1" applyAlignment="1" applyProtection="1">
      <alignment horizontal="left" vertical="center" wrapText="1"/>
    </xf>
    <xf numFmtId="3" fontId="14" fillId="0" borderId="34" xfId="0" applyNumberFormat="1" applyFont="1" applyFill="1" applyBorder="1" applyAlignment="1" applyProtection="1">
      <alignment horizontal="left" vertical="center" wrapText="1"/>
    </xf>
    <xf numFmtId="3" fontId="14" fillId="0" borderId="36" xfId="0" applyNumberFormat="1" applyFont="1" applyFill="1" applyBorder="1" applyAlignment="1" applyProtection="1">
      <alignment horizontal="right" vertical="center" wrapText="1"/>
    </xf>
    <xf numFmtId="0" fontId="1" fillId="0" borderId="0" xfId="0" applyFont="1" applyFill="1" applyAlignment="1" applyProtection="1">
      <alignment horizontal="left" vertical="center"/>
    </xf>
    <xf numFmtId="0" fontId="6" fillId="0" borderId="37" xfId="0" applyFont="1" applyFill="1" applyBorder="1" applyAlignment="1" applyProtection="1">
      <alignment horizontal="center" vertical="center" wrapText="1"/>
    </xf>
    <xf numFmtId="0" fontId="3" fillId="0" borderId="36" xfId="0" applyFont="1" applyBorder="1" applyAlignment="1" applyProtection="1">
      <alignment horizontal="center" vertical="center"/>
    </xf>
    <xf numFmtId="0" fontId="3" fillId="0" borderId="36" xfId="0" applyFont="1" applyBorder="1" applyAlignment="1" applyProtection="1">
      <alignment vertical="center"/>
    </xf>
    <xf numFmtId="165" fontId="19" fillId="0" borderId="69" xfId="0" applyNumberFormat="1" applyFont="1" applyFill="1" applyBorder="1" applyAlignment="1" applyProtection="1">
      <alignment horizontal="center" vertical="center"/>
    </xf>
    <xf numFmtId="164" fontId="19" fillId="0" borderId="69" xfId="0" applyNumberFormat="1" applyFont="1" applyFill="1" applyBorder="1" applyAlignment="1" applyProtection="1">
      <alignment horizontal="center" vertical="center"/>
    </xf>
    <xf numFmtId="164" fontId="14" fillId="0" borderId="63" xfId="0" applyNumberFormat="1" applyFont="1" applyFill="1" applyBorder="1" applyAlignment="1" applyProtection="1">
      <alignment vertical="center"/>
    </xf>
    <xf numFmtId="165" fontId="19" fillId="0" borderId="1" xfId="0" applyNumberFormat="1" applyFont="1" applyFill="1" applyBorder="1" applyAlignment="1" applyProtection="1">
      <alignment horizontal="center" vertical="center"/>
    </xf>
    <xf numFmtId="164" fontId="19" fillId="0" borderId="3" xfId="0" applyNumberFormat="1" applyFont="1" applyFill="1" applyBorder="1" applyAlignment="1" applyProtection="1">
      <alignment horizontal="center" vertical="center"/>
    </xf>
    <xf numFmtId="164" fontId="14" fillId="0" borderId="1" xfId="0" applyNumberFormat="1" applyFont="1" applyFill="1" applyBorder="1" applyAlignment="1" applyProtection="1">
      <alignment vertical="center"/>
    </xf>
    <xf numFmtId="164" fontId="19" fillId="0" borderId="4" xfId="0" applyNumberFormat="1" applyFont="1" applyFill="1" applyBorder="1" applyAlignment="1" applyProtection="1">
      <alignment horizontal="center" vertical="center"/>
    </xf>
    <xf numFmtId="0" fontId="6" fillId="0" borderId="32" xfId="0" applyFont="1" applyFill="1" applyBorder="1" applyAlignment="1" applyProtection="1">
      <alignment horizontal="center" vertical="center" wrapText="1"/>
    </xf>
    <xf numFmtId="166" fontId="19" fillId="0" borderId="69" xfId="0" applyNumberFormat="1" applyFont="1" applyFill="1" applyBorder="1" applyAlignment="1" applyProtection="1">
      <alignment horizontal="center" vertical="center"/>
    </xf>
    <xf numFmtId="176" fontId="19" fillId="0" borderId="69" xfId="0" applyNumberFormat="1" applyFont="1" applyFill="1" applyBorder="1" applyAlignment="1" applyProtection="1">
      <alignment horizontal="center" vertical="center"/>
    </xf>
    <xf numFmtId="166" fontId="19" fillId="0" borderId="1" xfId="0" applyNumberFormat="1" applyFont="1" applyFill="1" applyBorder="1" applyAlignment="1" applyProtection="1">
      <alignment horizontal="center" vertical="center"/>
    </xf>
    <xf numFmtId="176" fontId="19" fillId="0" borderId="3" xfId="0" applyNumberFormat="1" applyFont="1" applyFill="1" applyBorder="1" applyAlignment="1" applyProtection="1">
      <alignment horizontal="center" vertical="center"/>
    </xf>
    <xf numFmtId="176" fontId="19" fillId="0" borderId="4" xfId="0" applyNumberFormat="1" applyFont="1" applyFill="1" applyBorder="1" applyAlignment="1" applyProtection="1">
      <alignment horizontal="center" vertical="center"/>
    </xf>
    <xf numFmtId="171" fontId="19" fillId="0" borderId="4" xfId="0" applyNumberFormat="1" applyFont="1" applyFill="1" applyBorder="1" applyAlignment="1" applyProtection="1">
      <alignment horizontal="center" vertical="center"/>
    </xf>
    <xf numFmtId="166" fontId="19" fillId="0" borderId="20" xfId="0" applyNumberFormat="1" applyFont="1" applyFill="1" applyBorder="1" applyAlignment="1" applyProtection="1">
      <alignment horizontal="center" vertical="center"/>
    </xf>
    <xf numFmtId="171" fontId="19" fillId="0" borderId="29" xfId="0" applyNumberFormat="1" applyFont="1" applyFill="1" applyBorder="1" applyAlignment="1" applyProtection="1">
      <alignment horizontal="center" vertical="center"/>
    </xf>
    <xf numFmtId="164" fontId="14" fillId="0" borderId="20" xfId="0" applyNumberFormat="1" applyFont="1" applyFill="1" applyBorder="1" applyAlignment="1" applyProtection="1">
      <alignment vertical="center"/>
    </xf>
    <xf numFmtId="164" fontId="14" fillId="0" borderId="39" xfId="0" applyNumberFormat="1" applyFont="1" applyFill="1" applyBorder="1" applyAlignment="1" applyProtection="1">
      <alignment horizontal="right" vertical="center" wrapText="1"/>
    </xf>
    <xf numFmtId="3" fontId="14" fillId="0" borderId="0" xfId="0" applyNumberFormat="1" applyFont="1" applyFill="1" applyBorder="1" applyAlignment="1" applyProtection="1">
      <alignment horizontal="right" vertical="center" wrapText="1"/>
    </xf>
    <xf numFmtId="164" fontId="1" fillId="0" borderId="0" xfId="0" applyNumberFormat="1" applyFont="1" applyFill="1" applyAlignment="1" applyProtection="1">
      <alignment vertical="center"/>
    </xf>
    <xf numFmtId="0" fontId="14" fillId="0" borderId="0" xfId="0" applyFont="1" applyAlignment="1" applyProtection="1">
      <alignment vertical="center" wrapText="1"/>
    </xf>
    <xf numFmtId="0" fontId="3" fillId="13" borderId="32" xfId="0" applyFont="1" applyFill="1" applyBorder="1" applyAlignment="1" applyProtection="1">
      <alignment vertical="center"/>
    </xf>
    <xf numFmtId="0" fontId="3" fillId="13" borderId="33" xfId="0" applyFont="1" applyFill="1" applyBorder="1" applyAlignment="1" applyProtection="1">
      <alignment vertical="center"/>
    </xf>
    <xf numFmtId="0" fontId="3" fillId="13" borderId="34" xfId="0" applyFont="1" applyFill="1" applyBorder="1" applyAlignment="1" applyProtection="1">
      <alignment vertical="center"/>
    </xf>
    <xf numFmtId="3" fontId="37" fillId="0" borderId="40" xfId="0" applyNumberFormat="1" applyFont="1" applyFill="1" applyBorder="1" applyAlignment="1" applyProtection="1">
      <alignment horizontal="center" vertical="center"/>
    </xf>
    <xf numFmtId="3" fontId="37" fillId="4" borderId="40" xfId="0" applyNumberFormat="1" applyFont="1" applyFill="1" applyBorder="1" applyAlignment="1" applyProtection="1">
      <alignment horizontal="center" vertical="center"/>
    </xf>
    <xf numFmtId="3" fontId="37" fillId="4" borderId="8" xfId="0" applyNumberFormat="1" applyFont="1" applyFill="1" applyBorder="1" applyAlignment="1" applyProtection="1">
      <alignment horizontal="center" vertical="center"/>
    </xf>
    <xf numFmtId="3" fontId="19" fillId="4" borderId="38" xfId="0" applyNumberFormat="1" applyFont="1" applyFill="1" applyBorder="1" applyAlignment="1" applyProtection="1">
      <alignment horizontal="center" vertical="center"/>
    </xf>
    <xf numFmtId="3" fontId="19" fillId="4" borderId="6" xfId="0" applyNumberFormat="1" applyFont="1" applyFill="1" applyBorder="1" applyAlignment="1" applyProtection="1">
      <alignment horizontal="center" vertical="center"/>
    </xf>
    <xf numFmtId="3" fontId="19" fillId="4" borderId="41" xfId="0" applyNumberFormat="1" applyFont="1" applyFill="1" applyBorder="1" applyAlignment="1" applyProtection="1">
      <alignment horizontal="center" vertical="center"/>
    </xf>
    <xf numFmtId="3" fontId="19" fillId="4" borderId="67" xfId="0" applyNumberFormat="1" applyFont="1" applyFill="1" applyBorder="1" applyAlignment="1" applyProtection="1">
      <alignment horizontal="center" vertical="center"/>
    </xf>
    <xf numFmtId="0" fontId="3" fillId="0" borderId="36" xfId="0" applyFont="1" applyFill="1" applyBorder="1" applyAlignment="1" applyProtection="1">
      <alignment horizontal="left" vertical="center"/>
    </xf>
    <xf numFmtId="0" fontId="3" fillId="0" borderId="32" xfId="0" applyFont="1" applyFill="1" applyBorder="1" applyAlignment="1" applyProtection="1">
      <alignment vertical="center"/>
    </xf>
    <xf numFmtId="0" fontId="3" fillId="0" borderId="34" xfId="0" applyFont="1" applyFill="1" applyBorder="1" applyAlignment="1" applyProtection="1">
      <alignment vertical="center"/>
    </xf>
    <xf numFmtId="0" fontId="3" fillId="13" borderId="62" xfId="0" applyFont="1" applyFill="1" applyBorder="1" applyAlignment="1" applyProtection="1">
      <alignment horizontal="center" vertical="center" wrapText="1"/>
    </xf>
    <xf numFmtId="0" fontId="3" fillId="13" borderId="66" xfId="0" applyFont="1" applyFill="1" applyBorder="1" applyAlignment="1" applyProtection="1">
      <alignment horizontal="center" vertical="center" wrapText="1"/>
    </xf>
    <xf numFmtId="170" fontId="19" fillId="0" borderId="40" xfId="4" applyNumberFormat="1" applyFont="1" applyFill="1" applyBorder="1" applyAlignment="1" applyProtection="1">
      <alignment horizontal="center" vertical="center"/>
    </xf>
    <xf numFmtId="170" fontId="19" fillId="0" borderId="17" xfId="4" applyNumberFormat="1" applyFont="1" applyFill="1" applyBorder="1" applyAlignment="1" applyProtection="1">
      <alignment horizontal="center" vertical="center"/>
    </xf>
    <xf numFmtId="10" fontId="19" fillId="0" borderId="19" xfId="5" applyNumberFormat="1" applyFont="1" applyFill="1" applyBorder="1" applyAlignment="1" applyProtection="1">
      <alignment horizontal="center" vertical="center"/>
    </xf>
    <xf numFmtId="170" fontId="19" fillId="0" borderId="38" xfId="4" applyNumberFormat="1" applyFont="1" applyFill="1" applyBorder="1" applyAlignment="1" applyProtection="1">
      <alignment horizontal="center" vertical="center"/>
    </xf>
    <xf numFmtId="170" fontId="19" fillId="0" borderId="12" xfId="4" applyNumberFormat="1" applyFont="1" applyFill="1" applyBorder="1" applyAlignment="1" applyProtection="1">
      <alignment horizontal="center" vertical="center"/>
    </xf>
    <xf numFmtId="10" fontId="19" fillId="0" borderId="13" xfId="5" applyNumberFormat="1" applyFont="1" applyFill="1" applyBorder="1" applyAlignment="1" applyProtection="1">
      <alignment horizontal="center" vertical="center"/>
    </xf>
    <xf numFmtId="170" fontId="19" fillId="0" borderId="44" xfId="4" applyNumberFormat="1" applyFont="1" applyFill="1" applyBorder="1" applyAlignment="1" applyProtection="1">
      <alignment horizontal="center" vertical="center"/>
    </xf>
    <xf numFmtId="170" fontId="19" fillId="0" borderId="41" xfId="4" applyNumberFormat="1" applyFont="1" applyFill="1" applyBorder="1" applyAlignment="1" applyProtection="1">
      <alignment horizontal="center" vertical="center"/>
    </xf>
    <xf numFmtId="170" fontId="19" fillId="0" borderId="14" xfId="4" applyNumberFormat="1" applyFont="1" applyFill="1" applyBorder="1" applyAlignment="1" applyProtection="1">
      <alignment horizontal="center" vertical="center"/>
    </xf>
    <xf numFmtId="10" fontId="19" fillId="0" borderId="15" xfId="5" applyNumberFormat="1" applyFont="1" applyFill="1" applyBorder="1" applyAlignment="1" applyProtection="1">
      <alignment horizontal="center" vertical="center"/>
    </xf>
    <xf numFmtId="170" fontId="19" fillId="0" borderId="39" xfId="4" applyNumberFormat="1" applyFont="1" applyFill="1" applyBorder="1" applyAlignment="1" applyProtection="1">
      <alignment horizontal="center" vertical="center"/>
    </xf>
    <xf numFmtId="0" fontId="12" fillId="0" borderId="0" xfId="0" applyFont="1" applyBorder="1" applyAlignment="1" applyProtection="1">
      <alignment horizontal="left" vertical="center" wrapText="1"/>
    </xf>
    <xf numFmtId="165" fontId="19" fillId="0" borderId="41" xfId="5" applyNumberFormat="1" applyFont="1" applyFill="1" applyBorder="1" applyAlignment="1" applyProtection="1">
      <alignment horizontal="center" vertical="center"/>
    </xf>
    <xf numFmtId="0" fontId="39" fillId="6" borderId="5" xfId="0" applyFont="1" applyFill="1" applyBorder="1" applyAlignment="1" applyProtection="1">
      <alignment vertical="center"/>
    </xf>
    <xf numFmtId="0" fontId="40" fillId="6" borderId="22" xfId="0" applyFont="1" applyFill="1" applyBorder="1" applyAlignment="1" applyProtection="1">
      <alignment vertical="center" wrapText="1"/>
    </xf>
    <xf numFmtId="0" fontId="41" fillId="6" borderId="22" xfId="0" applyFont="1" applyFill="1" applyBorder="1" applyAlignment="1" applyProtection="1">
      <alignment vertical="center" wrapText="1"/>
    </xf>
    <xf numFmtId="0" fontId="40" fillId="6" borderId="22" xfId="0" applyFont="1" applyFill="1" applyBorder="1" applyAlignment="1" applyProtection="1">
      <alignment horizontal="right" vertical="center" wrapText="1"/>
    </xf>
    <xf numFmtId="0" fontId="40" fillId="6" borderId="23" xfId="0" applyFont="1" applyFill="1" applyBorder="1" applyAlignment="1" applyProtection="1">
      <alignment horizontal="right" vertical="center" wrapText="1"/>
    </xf>
    <xf numFmtId="0" fontId="31" fillId="4" borderId="0" xfId="0" applyFont="1" applyFill="1" applyAlignment="1" applyProtection="1">
      <alignment vertical="center" wrapText="1"/>
    </xf>
    <xf numFmtId="0" fontId="42" fillId="4" borderId="0" xfId="0" applyFont="1" applyFill="1" applyAlignment="1" applyProtection="1">
      <alignment vertical="center" wrapText="1"/>
    </xf>
    <xf numFmtId="0" fontId="30" fillId="0" borderId="0" xfId="0" applyFont="1" applyAlignment="1" applyProtection="1">
      <alignment vertical="center" wrapText="1"/>
    </xf>
    <xf numFmtId="0" fontId="39" fillId="6" borderId="7" xfId="0" applyFont="1" applyFill="1" applyBorder="1" applyAlignment="1" applyProtection="1">
      <alignment vertical="center"/>
    </xf>
    <xf numFmtId="0" fontId="40" fillId="6" borderId="24" xfId="0" applyFont="1" applyFill="1" applyBorder="1" applyAlignment="1" applyProtection="1">
      <alignment vertical="center" wrapText="1"/>
    </xf>
    <xf numFmtId="0" fontId="41" fillId="6" borderId="24" xfId="0" applyFont="1" applyFill="1" applyBorder="1" applyAlignment="1" applyProtection="1">
      <alignment vertical="center" wrapText="1"/>
    </xf>
    <xf numFmtId="0" fontId="40" fillId="6" borderId="24" xfId="0" applyFont="1" applyFill="1" applyBorder="1" applyAlignment="1" applyProtection="1">
      <alignment horizontal="right" vertical="center" wrapText="1"/>
    </xf>
    <xf numFmtId="0" fontId="40" fillId="6" borderId="25" xfId="0" applyFont="1" applyFill="1" applyBorder="1" applyAlignment="1" applyProtection="1">
      <alignment horizontal="right" vertical="center" wrapText="1"/>
    </xf>
    <xf numFmtId="0" fontId="43" fillId="0" borderId="0" xfId="0" applyFont="1" applyFill="1" applyAlignment="1" applyProtection="1">
      <alignment vertical="center"/>
    </xf>
    <xf numFmtId="0" fontId="43" fillId="0" borderId="0" xfId="0" applyFont="1" applyFill="1" applyAlignment="1" applyProtection="1">
      <alignment vertical="center" wrapText="1"/>
    </xf>
    <xf numFmtId="0" fontId="30" fillId="0" borderId="0" xfId="0" applyFont="1" applyFill="1" applyAlignment="1" applyProtection="1">
      <alignment vertical="center" wrapText="1"/>
    </xf>
    <xf numFmtId="0" fontId="31" fillId="0" borderId="0" xfId="0" applyFont="1" applyFill="1" applyAlignment="1" applyProtection="1">
      <alignment horizontal="right" vertical="center" wrapText="1"/>
    </xf>
    <xf numFmtId="0" fontId="31" fillId="0" borderId="0" xfId="0" applyFont="1" applyFill="1" applyBorder="1" applyAlignment="1" applyProtection="1">
      <alignment vertical="center" wrapText="1"/>
    </xf>
    <xf numFmtId="0" fontId="42" fillId="0" borderId="0" xfId="0" applyFont="1" applyFill="1" applyAlignment="1" applyProtection="1">
      <alignment vertical="center" wrapText="1"/>
    </xf>
    <xf numFmtId="0" fontId="30" fillId="4" borderId="0" xfId="0" applyFont="1" applyFill="1" applyAlignment="1" applyProtection="1">
      <alignment vertical="center" wrapText="1"/>
    </xf>
    <xf numFmtId="0" fontId="30" fillId="0" borderId="3" xfId="0" applyFont="1" applyBorder="1" applyAlignment="1" applyProtection="1">
      <alignment horizontal="center" vertical="center" wrapText="1"/>
    </xf>
    <xf numFmtId="0" fontId="30" fillId="0" borderId="45"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1" fillId="0" borderId="0" xfId="0" applyFont="1" applyFill="1" applyBorder="1" applyAlignment="1" applyProtection="1">
      <alignment horizontal="right" vertical="center" wrapText="1"/>
    </xf>
    <xf numFmtId="0" fontId="35" fillId="0" borderId="0" xfId="0" applyFont="1" applyFill="1" applyBorder="1" applyAlignment="1" applyProtection="1">
      <alignment horizontal="center" vertical="center" wrapText="1"/>
    </xf>
    <xf numFmtId="0" fontId="44" fillId="0" borderId="3" xfId="0" applyFont="1" applyBorder="1" applyAlignment="1" applyProtection="1">
      <alignment horizontal="right" vertical="center" wrapText="1"/>
    </xf>
    <xf numFmtId="0" fontId="44" fillId="0" borderId="1" xfId="0" applyFont="1" applyBorder="1" applyAlignment="1" applyProtection="1">
      <alignment horizontal="center" vertical="center" wrapText="1"/>
    </xf>
    <xf numFmtId="0" fontId="35" fillId="0" borderId="0" xfId="0" applyFont="1" applyFill="1" applyBorder="1" applyAlignment="1" applyProtection="1">
      <alignment vertical="center" wrapText="1"/>
    </xf>
    <xf numFmtId="164" fontId="35" fillId="0" borderId="0" xfId="0" applyNumberFormat="1" applyFont="1" applyFill="1" applyBorder="1" applyAlignment="1" applyProtection="1">
      <alignment vertical="center" wrapText="1"/>
    </xf>
    <xf numFmtId="0" fontId="2" fillId="0" borderId="3" xfId="0" applyFont="1" applyBorder="1" applyAlignment="1" applyProtection="1">
      <alignment horizontal="right" vertical="center" wrapText="1"/>
    </xf>
    <xf numFmtId="0" fontId="35" fillId="0" borderId="0" xfId="0" applyFont="1" applyFill="1" applyAlignment="1" applyProtection="1">
      <alignment vertical="center" wrapText="1"/>
    </xf>
    <xf numFmtId="9" fontId="44" fillId="0" borderId="1" xfId="0" applyNumberFormat="1" applyFont="1" applyBorder="1" applyAlignment="1" applyProtection="1">
      <alignment horizontal="center" vertical="center" wrapText="1"/>
    </xf>
    <xf numFmtId="0" fontId="30" fillId="6" borderId="0" xfId="0" applyFont="1" applyFill="1" applyAlignment="1" applyProtection="1">
      <alignment vertical="center" wrapText="1"/>
    </xf>
    <xf numFmtId="0" fontId="31" fillId="4" borderId="0" xfId="0" applyFont="1" applyFill="1" applyAlignment="1" applyProtection="1">
      <alignment horizontal="right" vertical="center" wrapText="1"/>
    </xf>
    <xf numFmtId="0" fontId="30" fillId="0" borderId="3" xfId="0" applyFont="1" applyBorder="1" applyAlignment="1" applyProtection="1">
      <alignment horizontal="right" vertical="center" wrapText="1"/>
    </xf>
    <xf numFmtId="1" fontId="30" fillId="2" borderId="1" xfId="0" applyNumberFormat="1" applyFont="1" applyFill="1" applyBorder="1" applyAlignment="1" applyProtection="1">
      <alignment horizontal="center" vertical="center" wrapText="1"/>
    </xf>
    <xf numFmtId="1" fontId="30" fillId="0" borderId="1" xfId="0" applyNumberFormat="1" applyFont="1" applyFill="1" applyBorder="1" applyAlignment="1" applyProtection="1">
      <alignment horizontal="center" vertical="center" wrapText="1"/>
    </xf>
    <xf numFmtId="0" fontId="36" fillId="0" borderId="3" xfId="0" applyFont="1" applyBorder="1" applyAlignment="1" applyProtection="1">
      <alignment horizontal="right" vertical="center" wrapText="1"/>
    </xf>
    <xf numFmtId="164" fontId="30" fillId="2" borderId="1" xfId="0" applyNumberFormat="1" applyFont="1" applyFill="1" applyBorder="1" applyAlignment="1" applyProtection="1">
      <alignment horizontal="center" vertical="center" wrapText="1"/>
    </xf>
    <xf numFmtId="0" fontId="30" fillId="0" borderId="1" xfId="0" applyFont="1" applyBorder="1" applyAlignment="1" applyProtection="1">
      <alignment horizontal="right" vertical="center" wrapText="1"/>
    </xf>
    <xf numFmtId="0" fontId="30" fillId="2" borderId="1" xfId="0" applyFont="1" applyFill="1" applyBorder="1" applyAlignment="1" applyProtection="1">
      <alignment horizontal="center" vertical="center" wrapText="1"/>
    </xf>
    <xf numFmtId="0" fontId="30" fillId="4" borderId="1" xfId="0" applyFont="1" applyFill="1" applyBorder="1" applyAlignment="1" applyProtection="1">
      <alignment horizontal="center" vertical="center" wrapText="1"/>
    </xf>
    <xf numFmtId="0" fontId="31" fillId="0" borderId="1" xfId="0" applyFont="1" applyBorder="1" applyAlignment="1" applyProtection="1">
      <alignment horizontal="right" vertical="center" wrapText="1"/>
    </xf>
    <xf numFmtId="164" fontId="35" fillId="4" borderId="1" xfId="0" applyNumberFormat="1" applyFont="1" applyFill="1" applyBorder="1" applyAlignment="1" applyProtection="1">
      <alignment horizontal="center" vertical="center" wrapText="1"/>
    </xf>
    <xf numFmtId="164" fontId="35" fillId="4" borderId="3" xfId="0" applyNumberFormat="1" applyFont="1" applyFill="1" applyBorder="1" applyAlignment="1" applyProtection="1">
      <alignment horizontal="center" vertical="center" wrapText="1"/>
    </xf>
    <xf numFmtId="164" fontId="30" fillId="0" borderId="0" xfId="0" applyNumberFormat="1" applyFont="1" applyAlignment="1" applyProtection="1">
      <alignment vertical="center" wrapText="1"/>
    </xf>
    <xf numFmtId="164" fontId="30" fillId="4" borderId="1"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wrapText="1"/>
    </xf>
    <xf numFmtId="0" fontId="35" fillId="0" borderId="0" xfId="0" applyFont="1" applyAlignment="1" applyProtection="1">
      <alignment vertical="center" wrapText="1"/>
    </xf>
    <xf numFmtId="10" fontId="30" fillId="2" borderId="1" xfId="0" applyNumberFormat="1" applyFont="1" applyFill="1" applyBorder="1" applyAlignment="1" applyProtection="1">
      <alignment horizontal="center" vertical="center" wrapText="1"/>
    </xf>
    <xf numFmtId="0" fontId="46" fillId="0" borderId="1" xfId="0" applyFont="1" applyBorder="1" applyAlignment="1" applyProtection="1">
      <alignment horizontal="right" vertical="center" wrapText="1"/>
    </xf>
    <xf numFmtId="164" fontId="30" fillId="0" borderId="1" xfId="0" applyNumberFormat="1" applyFont="1" applyFill="1" applyBorder="1" applyAlignment="1" applyProtection="1">
      <alignment horizontal="center" vertical="center" wrapText="1"/>
    </xf>
    <xf numFmtId="175" fontId="30" fillId="2" borderId="1" xfId="0" applyNumberFormat="1" applyFont="1" applyFill="1" applyBorder="1" applyAlignment="1" applyProtection="1">
      <alignment horizontal="center" vertical="center" wrapText="1"/>
    </xf>
    <xf numFmtId="0" fontId="47" fillId="0" borderId="1" xfId="0" applyFont="1" applyBorder="1" applyAlignment="1" applyProtection="1">
      <alignment horizontal="right" vertical="center" wrapText="1"/>
    </xf>
    <xf numFmtId="0" fontId="30" fillId="6" borderId="16" xfId="0" applyFont="1" applyFill="1" applyBorder="1" applyAlignment="1" applyProtection="1">
      <alignment horizontal="right" vertical="center" wrapText="1"/>
    </xf>
    <xf numFmtId="0" fontId="30" fillId="6" borderId="54" xfId="0" applyFont="1" applyFill="1" applyBorder="1" applyAlignment="1" applyProtection="1">
      <alignment horizontal="right" vertical="center" wrapText="1"/>
    </xf>
    <xf numFmtId="0" fontId="26" fillId="6" borderId="16" xfId="0" applyFont="1" applyFill="1" applyBorder="1" applyAlignment="1" applyProtection="1">
      <alignment horizontal="right" vertical="center" wrapText="1"/>
    </xf>
    <xf numFmtId="164" fontId="35" fillId="0" borderId="79" xfId="0" applyNumberFormat="1" applyFont="1" applyBorder="1" applyAlignment="1" applyProtection="1">
      <alignment horizontal="center" vertical="center" wrapText="1"/>
    </xf>
    <xf numFmtId="164" fontId="35" fillId="0" borderId="78" xfId="0" applyNumberFormat="1" applyFont="1" applyBorder="1" applyAlignment="1" applyProtection="1">
      <alignment horizontal="center" vertical="center" wrapText="1"/>
    </xf>
    <xf numFmtId="0" fontId="42" fillId="0" borderId="0" xfId="0" applyFont="1" applyAlignment="1" applyProtection="1">
      <alignment vertical="center" wrapText="1"/>
    </xf>
    <xf numFmtId="164" fontId="35" fillId="0" borderId="80" xfId="0" applyNumberFormat="1" applyFont="1" applyBorder="1" applyAlignment="1" applyProtection="1">
      <alignment horizontal="center" vertical="center" wrapText="1"/>
    </xf>
    <xf numFmtId="164" fontId="35" fillId="4" borderId="0" xfId="0" applyNumberFormat="1" applyFont="1" applyFill="1" applyBorder="1" applyAlignment="1" applyProtection="1">
      <alignment horizontal="center" vertical="center" wrapText="1"/>
    </xf>
    <xf numFmtId="0" fontId="31" fillId="0" borderId="0" xfId="0" applyFont="1" applyAlignment="1" applyProtection="1">
      <alignment vertical="center" wrapText="1"/>
    </xf>
    <xf numFmtId="0" fontId="31" fillId="0" borderId="1" xfId="0" applyFont="1" applyBorder="1" applyAlignment="1" applyProtection="1">
      <alignment horizontal="center" vertical="center" wrapText="1"/>
    </xf>
    <xf numFmtId="3" fontId="30" fillId="0" borderId="1" xfId="0" applyNumberFormat="1" applyFont="1" applyFill="1" applyBorder="1" applyAlignment="1" applyProtection="1">
      <alignment horizontal="center" vertical="center" wrapText="1"/>
    </xf>
    <xf numFmtId="164" fontId="30" fillId="0" borderId="1" xfId="0" applyNumberFormat="1" applyFont="1" applyBorder="1" applyAlignment="1" applyProtection="1">
      <alignment horizontal="center" vertical="center" wrapText="1"/>
    </xf>
    <xf numFmtId="167" fontId="30" fillId="0" borderId="1" xfId="0" applyNumberFormat="1" applyFont="1" applyBorder="1" applyAlignment="1" applyProtection="1">
      <alignment horizontal="center" vertical="center" wrapText="1"/>
    </xf>
    <xf numFmtId="3" fontId="44" fillId="0" borderId="1" xfId="0" applyNumberFormat="1" applyFont="1" applyFill="1" applyBorder="1" applyAlignment="1" applyProtection="1">
      <alignment horizontal="center" vertical="center" wrapText="1"/>
    </xf>
    <xf numFmtId="164" fontId="26" fillId="0" borderId="1" xfId="0" applyNumberFormat="1" applyFont="1" applyBorder="1" applyAlignment="1" applyProtection="1">
      <alignment horizontal="center" vertical="center" wrapText="1"/>
    </xf>
    <xf numFmtId="167" fontId="30" fillId="2" borderId="1" xfId="0" applyNumberFormat="1" applyFont="1" applyFill="1" applyBorder="1" applyAlignment="1" applyProtection="1">
      <alignment horizontal="center" vertical="center" wrapText="1"/>
    </xf>
    <xf numFmtId="164" fontId="49" fillId="0" borderId="1" xfId="0" applyNumberFormat="1" applyFont="1" applyFill="1" applyBorder="1" applyAlignment="1" applyProtection="1">
      <alignment horizontal="center" vertical="center" wrapText="1"/>
    </xf>
    <xf numFmtId="0" fontId="50" fillId="0" borderId="0" xfId="0" applyFont="1" applyAlignment="1" applyProtection="1">
      <alignment vertical="center" wrapText="1"/>
    </xf>
    <xf numFmtId="3" fontId="30" fillId="0" borderId="1" xfId="0" applyNumberFormat="1" applyFont="1" applyBorder="1" applyAlignment="1" applyProtection="1">
      <alignment horizontal="center" vertical="center" wrapText="1"/>
    </xf>
    <xf numFmtId="3" fontId="30" fillId="4" borderId="1" xfId="0" applyNumberFormat="1"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164" fontId="30" fillId="0" borderId="0" xfId="0" applyNumberFormat="1" applyFont="1" applyFill="1" applyBorder="1" applyAlignment="1" applyProtection="1">
      <alignment horizontal="center" vertical="center" wrapText="1"/>
    </xf>
    <xf numFmtId="164" fontId="26" fillId="0" borderId="0" xfId="0" applyNumberFormat="1" applyFont="1" applyFill="1" applyBorder="1" applyAlignment="1" applyProtection="1">
      <alignment horizontal="center" vertical="center" wrapText="1"/>
    </xf>
    <xf numFmtId="167" fontId="30" fillId="0" borderId="0" xfId="0" applyNumberFormat="1" applyFont="1" applyFill="1" applyBorder="1" applyAlignment="1" applyProtection="1">
      <alignment horizontal="center" vertical="center" wrapText="1"/>
    </xf>
    <xf numFmtId="164" fontId="26" fillId="0" borderId="97" xfId="0" applyNumberFormat="1"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textRotation="90" wrapText="1"/>
    </xf>
    <xf numFmtId="0" fontId="30" fillId="0" borderId="0" xfId="0" applyFont="1" applyBorder="1" applyAlignment="1" applyProtection="1">
      <alignment vertical="center" wrapText="1"/>
    </xf>
    <xf numFmtId="0" fontId="42" fillId="0" borderId="0" xfId="0" applyFont="1" applyBorder="1" applyAlignment="1" applyProtection="1">
      <alignment vertical="center" wrapText="1"/>
    </xf>
    <xf numFmtId="0" fontId="31" fillId="0" borderId="1" xfId="0" applyFont="1" applyBorder="1" applyAlignment="1" applyProtection="1">
      <alignment horizontal="left" vertical="center" wrapText="1"/>
    </xf>
    <xf numFmtId="164" fontId="35" fillId="0" borderId="63" xfId="0" applyNumberFormat="1" applyFont="1" applyFill="1" applyBorder="1" applyAlignment="1" applyProtection="1">
      <alignment vertical="center" wrapText="1"/>
    </xf>
    <xf numFmtId="0" fontId="31" fillId="0" borderId="1" xfId="0" applyFont="1" applyBorder="1" applyAlignment="1" applyProtection="1">
      <alignment vertical="center" wrapText="1"/>
    </xf>
    <xf numFmtId="164" fontId="31" fillId="0" borderId="63" xfId="0" applyNumberFormat="1" applyFont="1" applyBorder="1" applyAlignment="1" applyProtection="1">
      <alignment vertical="center" wrapText="1"/>
    </xf>
    <xf numFmtId="4" fontId="31" fillId="0" borderId="63" xfId="0" applyNumberFormat="1" applyFont="1" applyBorder="1" applyAlignment="1" applyProtection="1">
      <alignment vertical="center" wrapText="1"/>
    </xf>
    <xf numFmtId="0" fontId="31" fillId="0" borderId="63" xfId="0" applyFont="1" applyBorder="1" applyAlignment="1" applyProtection="1">
      <alignment vertical="center" wrapText="1"/>
    </xf>
    <xf numFmtId="0" fontId="30" fillId="6" borderId="45" xfId="0" applyFont="1" applyFill="1" applyBorder="1" applyAlignment="1" applyProtection="1">
      <alignment vertical="center" wrapText="1"/>
    </xf>
    <xf numFmtId="0" fontId="30" fillId="6" borderId="3" xfId="0" applyFont="1" applyFill="1" applyBorder="1" applyAlignment="1" applyProtection="1">
      <alignment horizontal="right" vertical="center" wrapText="1"/>
    </xf>
    <xf numFmtId="0" fontId="26" fillId="6" borderId="45" xfId="0" applyFont="1" applyFill="1" applyBorder="1" applyAlignment="1" applyProtection="1">
      <alignment horizontal="right" vertical="center" wrapText="1"/>
    </xf>
    <xf numFmtId="0" fontId="2" fillId="5" borderId="1" xfId="0" applyFont="1" applyFill="1" applyBorder="1" applyAlignment="1" applyProtection="1">
      <alignment vertical="center" wrapText="1"/>
    </xf>
    <xf numFmtId="0" fontId="54" fillId="0" borderId="17" xfId="3" applyBorder="1" applyAlignment="1" applyProtection="1">
      <alignment horizontal="center" vertical="center"/>
    </xf>
    <xf numFmtId="0" fontId="54" fillId="0" borderId="18" xfId="3" applyBorder="1" applyAlignment="1" applyProtection="1">
      <alignment horizontal="center" vertical="center" wrapText="1"/>
    </xf>
    <xf numFmtId="0" fontId="54" fillId="0" borderId="18" xfId="3" applyBorder="1" applyAlignment="1" applyProtection="1">
      <alignment horizontal="center" vertical="center"/>
    </xf>
    <xf numFmtId="0" fontId="54" fillId="0" borderId="19" xfId="3" applyBorder="1" applyAlignment="1" applyProtection="1">
      <alignment horizontal="center" vertical="center"/>
    </xf>
    <xf numFmtId="0" fontId="0" fillId="7" borderId="12" xfId="0" applyFill="1" applyBorder="1" applyAlignment="1" applyProtection="1">
      <alignment horizontal="center" vertical="center"/>
    </xf>
    <xf numFmtId="0" fontId="0" fillId="7" borderId="1" xfId="0" applyFill="1" applyBorder="1" applyAlignment="1" applyProtection="1">
      <alignment horizontal="center" vertical="center" wrapText="1"/>
    </xf>
    <xf numFmtId="0" fontId="0" fillId="7" borderId="1" xfId="0" applyFill="1" applyBorder="1" applyAlignment="1" applyProtection="1">
      <alignment horizontal="center" vertical="center"/>
    </xf>
    <xf numFmtId="0" fontId="0" fillId="7" borderId="13" xfId="0" applyFill="1" applyBorder="1" applyAlignment="1" applyProtection="1">
      <alignment horizontal="center" vertical="center" wrapText="1"/>
    </xf>
    <xf numFmtId="0" fontId="0" fillId="0" borderId="0" xfId="0" applyAlignment="1" applyProtection="1">
      <alignment horizontal="center" vertical="center" wrapText="1"/>
    </xf>
    <xf numFmtId="0" fontId="0" fillId="5" borderId="12" xfId="0" applyFill="1" applyBorder="1" applyAlignment="1" applyProtection="1">
      <alignment horizontal="center" vertical="center"/>
    </xf>
    <xf numFmtId="0" fontId="0" fillId="5" borderId="1" xfId="0" applyFill="1" applyBorder="1" applyAlignment="1" applyProtection="1">
      <alignment horizontal="center" vertical="center" wrapText="1"/>
    </xf>
    <xf numFmtId="0" fontId="0" fillId="5" borderId="1" xfId="0" applyFill="1" applyBorder="1" applyAlignment="1" applyProtection="1">
      <alignment horizontal="center" vertical="center"/>
    </xf>
    <xf numFmtId="0" fontId="0" fillId="5" borderId="13" xfId="0" applyFill="1" applyBorder="1" applyAlignment="1" applyProtection="1">
      <alignment horizontal="center" vertical="center" wrapText="1"/>
    </xf>
    <xf numFmtId="0" fontId="0" fillId="7" borderId="1" xfId="0" applyNumberFormat="1" applyFill="1" applyBorder="1" applyAlignment="1" applyProtection="1">
      <alignment horizontal="center" vertical="center"/>
    </xf>
    <xf numFmtId="0" fontId="0" fillId="5" borderId="1" xfId="0" quotePrefix="1" applyFill="1" applyBorder="1" applyAlignment="1" applyProtection="1">
      <alignment horizontal="center" vertical="center"/>
    </xf>
    <xf numFmtId="0" fontId="33" fillId="0" borderId="0" xfId="1" applyAlignment="1" applyProtection="1">
      <alignment horizontal="center" vertical="center"/>
    </xf>
    <xf numFmtId="0" fontId="0" fillId="7" borderId="1" xfId="0" quotePrefix="1" applyFill="1" applyBorder="1" applyAlignment="1" applyProtection="1">
      <alignment horizontal="center" vertical="center"/>
    </xf>
    <xf numFmtId="0" fontId="0" fillId="5" borderId="12" xfId="0" applyFill="1" applyBorder="1" applyAlignment="1" applyProtection="1">
      <alignment horizontal="center" vertical="center" wrapText="1"/>
    </xf>
    <xf numFmtId="0" fontId="0" fillId="7" borderId="12" xfId="0" applyFill="1" applyBorder="1" applyAlignment="1" applyProtection="1">
      <alignment horizontal="center" vertical="center" wrapText="1"/>
    </xf>
    <xf numFmtId="0" fontId="77" fillId="5" borderId="12" xfId="0" applyFont="1" applyFill="1" applyBorder="1" applyAlignment="1" applyProtection="1">
      <alignment horizontal="left" vertical="center"/>
    </xf>
    <xf numFmtId="0" fontId="77" fillId="5" borderId="1" xfId="0" applyFont="1" applyFill="1" applyBorder="1" applyAlignment="1" applyProtection="1">
      <alignment horizontal="center" vertical="center" wrapText="1"/>
    </xf>
    <xf numFmtId="9" fontId="77" fillId="5" borderId="1" xfId="0" applyNumberFormat="1" applyFont="1" applyFill="1" applyBorder="1" applyAlignment="1" applyProtection="1">
      <alignment horizontal="center" vertical="center"/>
    </xf>
    <xf numFmtId="0" fontId="77" fillId="5" borderId="1" xfId="0" applyFont="1" applyFill="1" applyBorder="1" applyAlignment="1" applyProtection="1">
      <alignment horizontal="center" vertical="center"/>
    </xf>
    <xf numFmtId="0" fontId="0" fillId="0" borderId="0" xfId="0" applyAlignment="1" applyProtection="1">
      <alignment horizontal="right" vertical="center"/>
    </xf>
    <xf numFmtId="0" fontId="0" fillId="11" borderId="0" xfId="0" applyFill="1" applyAlignment="1" applyProtection="1">
      <alignment horizontal="center" vertical="center"/>
    </xf>
    <xf numFmtId="0" fontId="0" fillId="5" borderId="0" xfId="0" applyFill="1" applyAlignment="1" applyProtection="1">
      <alignment horizontal="center" vertical="center"/>
    </xf>
    <xf numFmtId="0" fontId="0" fillId="12" borderId="1" xfId="0" applyFill="1" applyBorder="1" applyAlignment="1" applyProtection="1">
      <alignment horizontal="center" vertical="center"/>
    </xf>
    <xf numFmtId="0" fontId="0" fillId="12" borderId="1" xfId="0" applyFill="1"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5" borderId="0" xfId="0" quotePrefix="1" applyFill="1" applyAlignment="1" applyProtection="1">
      <alignment horizontal="center" vertical="center"/>
    </xf>
    <xf numFmtId="0" fontId="0" fillId="13" borderId="0" xfId="0" applyFill="1" applyAlignment="1" applyProtection="1">
      <alignment horizontal="center" vertical="center" wrapText="1"/>
    </xf>
    <xf numFmtId="0" fontId="0" fillId="13" borderId="0" xfId="0" applyFill="1" applyAlignment="1" applyProtection="1">
      <alignment horizontal="center" vertical="center"/>
    </xf>
    <xf numFmtId="0" fontId="0" fillId="0" borderId="0" xfId="0" applyAlignment="1" applyProtection="1">
      <alignment wrapText="1"/>
    </xf>
    <xf numFmtId="0" fontId="59" fillId="0" borderId="25" xfId="0" applyFont="1" applyBorder="1" applyAlignment="1" applyProtection="1">
      <alignment horizontal="center" vertical="center" wrapText="1"/>
    </xf>
    <xf numFmtId="0" fontId="61" fillId="0" borderId="26" xfId="0" applyFont="1" applyBorder="1" applyAlignment="1" applyProtection="1">
      <alignment horizontal="justify" vertical="center" wrapText="1"/>
    </xf>
    <xf numFmtId="0" fontId="61" fillId="0" borderId="25" xfId="0" applyFont="1" applyBorder="1" applyAlignment="1" applyProtection="1">
      <alignment horizontal="justify" vertical="center" wrapText="1"/>
    </xf>
    <xf numFmtId="3" fontId="62" fillId="0" borderId="25" xfId="0" applyNumberFormat="1" applyFont="1" applyBorder="1" applyAlignment="1" applyProtection="1">
      <alignment horizontal="right" vertical="center" wrapText="1" indent="2"/>
    </xf>
    <xf numFmtId="3" fontId="62" fillId="0" borderId="25" xfId="0" applyNumberFormat="1" applyFont="1" applyBorder="1" applyAlignment="1" applyProtection="1">
      <alignment horizontal="right" vertical="center" wrapText="1"/>
    </xf>
    <xf numFmtId="3" fontId="63" fillId="0" borderId="25" xfId="0" applyNumberFormat="1" applyFont="1" applyBorder="1" applyAlignment="1" applyProtection="1">
      <alignment horizontal="right" vertical="center" wrapText="1"/>
    </xf>
    <xf numFmtId="0" fontId="61" fillId="0" borderId="36" xfId="0" applyFont="1" applyBorder="1" applyAlignment="1" applyProtection="1">
      <alignment horizontal="justify" vertical="center" wrapText="1"/>
    </xf>
    <xf numFmtId="0" fontId="0" fillId="0" borderId="25" xfId="0" applyBorder="1" applyAlignment="1" applyProtection="1">
      <alignment vertical="center" wrapText="1"/>
    </xf>
    <xf numFmtId="3" fontId="62" fillId="0" borderId="32" xfId="0" applyNumberFormat="1" applyFont="1" applyBorder="1" applyAlignment="1" applyProtection="1">
      <alignment vertical="center" wrapText="1"/>
    </xf>
    <xf numFmtId="3" fontId="62" fillId="0" borderId="24" xfId="0" applyNumberFormat="1" applyFont="1" applyBorder="1" applyAlignment="1" applyProtection="1">
      <alignment horizontal="right" vertical="center" wrapText="1"/>
    </xf>
    <xf numFmtId="3" fontId="63" fillId="0" borderId="24" xfId="0" applyNumberFormat="1" applyFont="1" applyBorder="1" applyAlignment="1" applyProtection="1">
      <alignment horizontal="right" vertical="center" wrapText="1"/>
    </xf>
    <xf numFmtId="3" fontId="63" fillId="0" borderId="32" xfId="0" applyNumberFormat="1" applyFont="1" applyBorder="1" applyAlignment="1" applyProtection="1">
      <alignment vertical="center" wrapText="1"/>
    </xf>
    <xf numFmtId="3" fontId="59" fillId="0" borderId="25" xfId="0" applyNumberFormat="1" applyFont="1" applyBorder="1" applyAlignment="1" applyProtection="1">
      <alignment horizontal="right" vertical="center" wrapText="1"/>
    </xf>
    <xf numFmtId="0" fontId="0" fillId="0" borderId="0" xfId="0" applyAlignment="1" applyProtection="1">
      <alignment horizontal="center"/>
    </xf>
    <xf numFmtId="0" fontId="57" fillId="0" borderId="0" xfId="0" applyFont="1" applyAlignment="1" applyProtection="1">
      <alignment horizontal="center"/>
    </xf>
    <xf numFmtId="0" fontId="0" fillId="0" borderId="0" xfId="0" applyFont="1" applyAlignment="1" applyProtection="1">
      <alignment horizontal="center"/>
    </xf>
    <xf numFmtId="0" fontId="0" fillId="0" borderId="1" xfId="0" applyBorder="1" applyAlignment="1" applyProtection="1">
      <alignment horizontal="center"/>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xf>
    <xf numFmtId="170" fontId="0" fillId="0" borderId="1" xfId="4" applyNumberFormat="1" applyFont="1" applyBorder="1" applyProtection="1"/>
    <xf numFmtId="0" fontId="0" fillId="0" borderId="1" xfId="0" applyBorder="1" applyAlignment="1" applyProtection="1">
      <alignment horizontal="center" wrapText="1"/>
    </xf>
    <xf numFmtId="170" fontId="0" fillId="0" borderId="1" xfId="0" applyNumberFormat="1" applyBorder="1" applyProtection="1"/>
    <xf numFmtId="165" fontId="1" fillId="14" borderId="13" xfId="0" applyNumberFormat="1" applyFont="1" applyFill="1" applyBorder="1" applyAlignment="1" applyProtection="1">
      <alignment horizontal="center"/>
      <protection locked="0"/>
    </xf>
    <xf numFmtId="165" fontId="1" fillId="14" borderId="15" xfId="0" applyNumberFormat="1" applyFont="1" applyFill="1" applyBorder="1" applyAlignment="1" applyProtection="1">
      <alignment horizontal="center"/>
      <protection locked="0"/>
    </xf>
    <xf numFmtId="165" fontId="1" fillId="14" borderId="25" xfId="0" applyNumberFormat="1" applyFont="1" applyFill="1" applyBorder="1" applyAlignment="1" applyProtection="1">
      <alignment horizontal="center" vertical="center"/>
      <protection locked="0"/>
    </xf>
    <xf numFmtId="165" fontId="12" fillId="14" borderId="15" xfId="0" applyNumberFormat="1" applyFont="1" applyFill="1" applyBorder="1" applyAlignment="1" applyProtection="1">
      <alignment horizontal="center" vertical="center"/>
      <protection locked="0"/>
    </xf>
    <xf numFmtId="165" fontId="12" fillId="14" borderId="19" xfId="0" applyNumberFormat="1" applyFont="1" applyFill="1" applyBorder="1" applyAlignment="1" applyProtection="1">
      <alignment horizontal="center" vertical="center"/>
      <protection locked="0"/>
    </xf>
    <xf numFmtId="165" fontId="1" fillId="14" borderId="41" xfId="0" applyNumberFormat="1" applyFont="1" applyFill="1" applyBorder="1" applyAlignment="1" applyProtection="1">
      <alignment horizontal="center" vertical="center"/>
      <protection locked="0"/>
    </xf>
    <xf numFmtId="165" fontId="1" fillId="14" borderId="44" xfId="0" applyNumberFormat="1" applyFont="1" applyFill="1" applyBorder="1" applyAlignment="1" applyProtection="1">
      <alignment horizontal="center" vertical="center"/>
      <protection locked="0"/>
    </xf>
    <xf numFmtId="165" fontId="1" fillId="14" borderId="36" xfId="0" applyNumberFormat="1" applyFont="1" applyFill="1" applyBorder="1" applyAlignment="1" applyProtection="1">
      <alignment horizontal="center" vertical="center"/>
      <protection locked="0"/>
    </xf>
    <xf numFmtId="165" fontId="1" fillId="14" borderId="40" xfId="0" applyNumberFormat="1" applyFont="1" applyFill="1" applyBorder="1" applyAlignment="1" applyProtection="1">
      <alignment horizontal="center" vertical="center"/>
      <protection locked="0"/>
    </xf>
    <xf numFmtId="3" fontId="1" fillId="14" borderId="44" xfId="0" applyNumberFormat="1" applyFont="1" applyFill="1" applyBorder="1" applyAlignment="1" applyProtection="1">
      <alignment horizontal="right" vertical="center"/>
      <protection locked="0"/>
    </xf>
    <xf numFmtId="166" fontId="1" fillId="14" borderId="13" xfId="0" applyNumberFormat="1" applyFont="1" applyFill="1" applyBorder="1" applyAlignment="1" applyProtection="1">
      <alignment horizontal="center"/>
      <protection locked="0"/>
    </xf>
    <xf numFmtId="169" fontId="1" fillId="14" borderId="1" xfId="0" applyNumberFormat="1" applyFont="1" applyFill="1" applyBorder="1" applyAlignment="1" applyProtection="1">
      <alignment horizontal="center"/>
      <protection locked="0"/>
    </xf>
    <xf numFmtId="169" fontId="1" fillId="14" borderId="20" xfId="0" applyNumberFormat="1" applyFont="1" applyFill="1" applyBorder="1" applyAlignment="1" applyProtection="1">
      <alignment horizontal="center"/>
      <protection locked="0"/>
    </xf>
    <xf numFmtId="0" fontId="3" fillId="0" borderId="32" xfId="0" applyFont="1" applyBorder="1" applyAlignment="1">
      <alignment horizontal="left" vertical="center"/>
    </xf>
    <xf numFmtId="169" fontId="3" fillId="0" borderId="0" xfId="0" applyNumberFormat="1" applyFont="1" applyBorder="1" applyAlignment="1">
      <alignment horizontal="right"/>
    </xf>
    <xf numFmtId="0" fontId="3" fillId="0" borderId="10" xfId="0" applyFont="1" applyBorder="1" applyAlignment="1">
      <alignment horizontal="left" vertical="center" wrapText="1"/>
    </xf>
    <xf numFmtId="0" fontId="3" fillId="0" borderId="2" xfId="0" applyFont="1" applyBorder="1" applyAlignment="1">
      <alignment horizontal="center" vertical="center" wrapText="1"/>
    </xf>
    <xf numFmtId="169" fontId="1" fillId="0" borderId="2" xfId="0" applyNumberFormat="1" applyFont="1" applyBorder="1" applyAlignment="1">
      <alignment horizontal="center"/>
    </xf>
    <xf numFmtId="169" fontId="1" fillId="0" borderId="11" xfId="0" applyNumberFormat="1" applyFont="1" applyBorder="1" applyAlignment="1">
      <alignment horizontal="center"/>
    </xf>
    <xf numFmtId="42" fontId="1" fillId="22" borderId="61" xfId="0" applyNumberFormat="1" applyFont="1" applyFill="1" applyBorder="1" applyAlignment="1" applyProtection="1">
      <alignment horizontal="center"/>
    </xf>
    <xf numFmtId="42" fontId="1" fillId="22" borderId="44" xfId="0" applyNumberFormat="1" applyFont="1" applyFill="1" applyBorder="1" applyAlignment="1" applyProtection="1">
      <alignment horizontal="center"/>
    </xf>
    <xf numFmtId="3" fontId="1" fillId="22" borderId="44" xfId="0" applyNumberFormat="1" applyFont="1" applyFill="1" applyBorder="1" applyAlignment="1" applyProtection="1">
      <alignment horizontal="right"/>
    </xf>
    <xf numFmtId="165" fontId="1" fillId="22" borderId="60" xfId="0" applyNumberFormat="1" applyFont="1" applyFill="1" applyBorder="1" applyAlignment="1" applyProtection="1">
      <alignment horizontal="right"/>
    </xf>
    <xf numFmtId="3" fontId="1" fillId="22" borderId="61" xfId="0" applyNumberFormat="1" applyFont="1" applyFill="1" applyBorder="1" applyAlignment="1" applyProtection="1">
      <alignment horizontal="right"/>
    </xf>
    <xf numFmtId="165" fontId="1" fillId="22" borderId="44" xfId="0" applyNumberFormat="1" applyFont="1" applyFill="1" applyBorder="1" applyAlignment="1" applyProtection="1">
      <alignment horizontal="right"/>
    </xf>
    <xf numFmtId="3" fontId="1" fillId="22" borderId="44" xfId="0" applyNumberFormat="1" applyFont="1" applyFill="1" applyBorder="1" applyAlignment="1" applyProtection="1">
      <alignment horizontal="right" vertical="center"/>
    </xf>
    <xf numFmtId="3" fontId="1" fillId="22" borderId="60" xfId="0" applyNumberFormat="1" applyFont="1" applyFill="1" applyBorder="1" applyAlignment="1" applyProtection="1">
      <alignment horizontal="right"/>
    </xf>
    <xf numFmtId="3" fontId="12" fillId="22" borderId="44" xfId="0" applyNumberFormat="1" applyFont="1" applyFill="1" applyBorder="1" applyAlignment="1" applyProtection="1">
      <alignment horizontal="right" vertical="center"/>
    </xf>
    <xf numFmtId="165" fontId="1" fillId="22" borderId="44" xfId="0" applyNumberFormat="1" applyFont="1" applyFill="1" applyBorder="1" applyAlignment="1" applyProtection="1">
      <alignment horizontal="right" vertical="center"/>
    </xf>
    <xf numFmtId="41" fontId="1" fillId="22" borderId="44" xfId="0" applyNumberFormat="1" applyFont="1" applyFill="1" applyBorder="1" applyAlignment="1" applyProtection="1">
      <alignment horizontal="right" vertical="center"/>
    </xf>
    <xf numFmtId="44" fontId="1" fillId="22" borderId="44" xfId="0" applyNumberFormat="1" applyFont="1" applyFill="1" applyBorder="1" applyAlignment="1" applyProtection="1">
      <alignment horizontal="right" vertical="center"/>
    </xf>
    <xf numFmtId="44" fontId="1" fillId="22" borderId="60" xfId="0" applyNumberFormat="1" applyFont="1" applyFill="1" applyBorder="1" applyAlignment="1" applyProtection="1">
      <alignment horizontal="right" vertical="center"/>
    </xf>
    <xf numFmtId="173" fontId="1" fillId="22" borderId="60" xfId="6" applyNumberFormat="1" applyFont="1" applyFill="1" applyBorder="1" applyAlignment="1" applyProtection="1">
      <alignment horizontal="right" vertical="center"/>
    </xf>
    <xf numFmtId="10" fontId="1" fillId="22" borderId="60" xfId="0" applyNumberFormat="1" applyFont="1" applyFill="1" applyBorder="1" applyAlignment="1" applyProtection="1">
      <alignment horizontal="right" vertical="center"/>
    </xf>
    <xf numFmtId="9" fontId="1" fillId="22" borderId="60" xfId="5" applyFont="1" applyFill="1" applyBorder="1" applyAlignment="1" applyProtection="1">
      <alignment horizontal="right" vertical="center"/>
    </xf>
    <xf numFmtId="42" fontId="1" fillId="22" borderId="41" xfId="0" applyNumberFormat="1" applyFont="1" applyFill="1" applyBorder="1" applyAlignment="1" applyProtection="1">
      <alignment horizontal="right" vertical="center"/>
    </xf>
    <xf numFmtId="172" fontId="1" fillId="22" borderId="39" xfId="0" applyNumberFormat="1" applyFont="1" applyFill="1" applyBorder="1" applyAlignment="1" applyProtection="1">
      <alignment horizontal="right" vertical="center"/>
    </xf>
    <xf numFmtId="10" fontId="3" fillId="0" borderId="40" xfId="0" applyNumberFormat="1" applyFont="1" applyFill="1" applyBorder="1" applyAlignment="1" applyProtection="1">
      <alignment horizontal="center" vertical="center" wrapText="1"/>
    </xf>
    <xf numFmtId="169" fontId="1" fillId="22" borderId="17" xfId="0" applyNumberFormat="1" applyFont="1" applyFill="1" applyBorder="1" applyAlignment="1">
      <alignment horizontal="center" vertical="center"/>
    </xf>
    <xf numFmtId="169" fontId="1" fillId="22" borderId="19" xfId="0" applyNumberFormat="1" applyFont="1" applyFill="1" applyBorder="1" applyAlignment="1">
      <alignment horizontal="center" vertical="center"/>
    </xf>
    <xf numFmtId="0" fontId="1" fillId="22" borderId="46" xfId="0" applyFont="1" applyFill="1" applyBorder="1" applyAlignment="1">
      <alignment horizontal="center" vertical="center"/>
    </xf>
    <xf numFmtId="169" fontId="1" fillId="22" borderId="14" xfId="0" applyNumberFormat="1" applyFont="1" applyFill="1" applyBorder="1" applyAlignment="1">
      <alignment horizontal="center" vertical="center"/>
    </xf>
    <xf numFmtId="169" fontId="1" fillId="22" borderId="15" xfId="0" applyNumberFormat="1" applyFont="1" applyFill="1" applyBorder="1" applyAlignment="1">
      <alignment horizontal="center" vertical="center"/>
    </xf>
    <xf numFmtId="0" fontId="1" fillId="22" borderId="51" xfId="0" applyFont="1" applyFill="1" applyBorder="1" applyAlignment="1">
      <alignment horizontal="center" vertical="center"/>
    </xf>
    <xf numFmtId="0" fontId="1" fillId="22" borderId="33" xfId="0" applyFont="1" applyFill="1" applyBorder="1" applyAlignment="1">
      <alignment horizontal="center" vertical="center"/>
    </xf>
    <xf numFmtId="169" fontId="1" fillId="22" borderId="70" xfId="0" applyNumberFormat="1" applyFont="1" applyFill="1" applyBorder="1" applyAlignment="1">
      <alignment horizontal="center" vertical="center"/>
    </xf>
    <xf numFmtId="169" fontId="1" fillId="22" borderId="65" xfId="0" applyNumberFormat="1" applyFont="1" applyFill="1" applyBorder="1" applyAlignment="1">
      <alignment horizontal="center" vertical="center"/>
    </xf>
    <xf numFmtId="169" fontId="1" fillId="22" borderId="66" xfId="0" applyNumberFormat="1" applyFont="1" applyFill="1" applyBorder="1" applyAlignment="1">
      <alignment horizontal="center" vertical="center"/>
    </xf>
    <xf numFmtId="169" fontId="1" fillId="22" borderId="12" xfId="0" applyNumberFormat="1" applyFont="1" applyFill="1" applyBorder="1" applyAlignment="1">
      <alignment horizontal="center" vertical="center" wrapText="1"/>
    </xf>
    <xf numFmtId="169" fontId="1" fillId="22" borderId="13" xfId="0" applyNumberFormat="1" applyFont="1" applyFill="1" applyBorder="1" applyAlignment="1">
      <alignment horizontal="center" vertical="center"/>
    </xf>
    <xf numFmtId="0" fontId="1" fillId="22" borderId="16" xfId="0" applyFont="1" applyFill="1" applyBorder="1" applyAlignment="1">
      <alignment horizontal="center" vertical="center"/>
    </xf>
    <xf numFmtId="169" fontId="1" fillId="22" borderId="14" xfId="0" applyNumberFormat="1" applyFont="1" applyFill="1" applyBorder="1" applyAlignment="1">
      <alignment horizontal="center" vertical="center" wrapText="1"/>
    </xf>
    <xf numFmtId="169" fontId="1" fillId="22" borderId="45" xfId="0" applyNumberFormat="1" applyFont="1" applyFill="1" applyBorder="1" applyAlignment="1">
      <alignment horizontal="center" vertical="center"/>
    </xf>
    <xf numFmtId="169" fontId="1" fillId="22" borderId="12" xfId="0" applyNumberFormat="1" applyFont="1" applyFill="1" applyBorder="1" applyAlignment="1">
      <alignment horizontal="center" vertical="center"/>
    </xf>
    <xf numFmtId="169" fontId="1" fillId="22" borderId="10" xfId="0" applyNumberFormat="1" applyFont="1" applyFill="1" applyBorder="1" applyAlignment="1">
      <alignment horizontal="center" vertical="center"/>
    </xf>
    <xf numFmtId="169" fontId="1" fillId="22" borderId="11" xfId="0" applyNumberFormat="1" applyFont="1" applyFill="1" applyBorder="1" applyAlignment="1">
      <alignment horizontal="center" vertical="center"/>
    </xf>
    <xf numFmtId="0" fontId="1" fillId="22" borderId="55" xfId="0" applyFont="1" applyFill="1" applyBorder="1" applyAlignment="1">
      <alignment horizontal="center" vertical="center"/>
    </xf>
    <xf numFmtId="169" fontId="1" fillId="22" borderId="13" xfId="0" applyNumberFormat="1" applyFont="1" applyFill="1" applyBorder="1" applyAlignment="1" applyProtection="1">
      <alignment horizontal="center" vertical="center"/>
      <protection locked="0"/>
    </xf>
    <xf numFmtId="0" fontId="12" fillId="22" borderId="98" xfId="0" applyFont="1" applyFill="1" applyBorder="1" applyAlignment="1">
      <alignment horizontal="center" vertical="center"/>
    </xf>
    <xf numFmtId="44" fontId="1" fillId="22" borderId="20" xfId="6" applyFont="1" applyFill="1" applyBorder="1" applyAlignment="1">
      <alignment horizontal="center"/>
    </xf>
    <xf numFmtId="44" fontId="1" fillId="22" borderId="65" xfId="6" applyFont="1" applyFill="1" applyBorder="1" applyAlignment="1">
      <alignment horizontal="center"/>
    </xf>
    <xf numFmtId="44" fontId="1" fillId="22" borderId="15" xfId="6" applyFont="1" applyFill="1" applyBorder="1" applyAlignment="1">
      <alignment horizontal="center"/>
    </xf>
    <xf numFmtId="171" fontId="1" fillId="22" borderId="1" xfId="0" applyNumberFormat="1" applyFont="1" applyFill="1" applyBorder="1" applyAlignment="1">
      <alignment horizontal="center"/>
    </xf>
    <xf numFmtId="169" fontId="1" fillId="22" borderId="13" xfId="0" applyNumberFormat="1" applyFont="1" applyFill="1" applyBorder="1" applyAlignment="1">
      <alignment horizontal="center"/>
    </xf>
    <xf numFmtId="171" fontId="1" fillId="22" borderId="21" xfId="0" applyNumberFormat="1" applyFont="1" applyFill="1" applyBorder="1" applyAlignment="1">
      <alignment horizontal="center"/>
    </xf>
    <xf numFmtId="169" fontId="1" fillId="22" borderId="28" xfId="0" applyNumberFormat="1" applyFont="1" applyFill="1" applyBorder="1" applyAlignment="1">
      <alignment horizontal="center"/>
    </xf>
    <xf numFmtId="3" fontId="1" fillId="22" borderId="21" xfId="0" applyNumberFormat="1" applyFont="1" applyFill="1" applyBorder="1" applyAlignment="1">
      <alignment horizontal="center"/>
    </xf>
    <xf numFmtId="169" fontId="1" fillId="22" borderId="15" xfId="0" applyNumberFormat="1" applyFont="1" applyFill="1" applyBorder="1" applyAlignment="1">
      <alignment horizontal="center"/>
    </xf>
    <xf numFmtId="10" fontId="1" fillId="22" borderId="13" xfId="0" applyNumberFormat="1" applyFont="1" applyFill="1" applyBorder="1" applyAlignment="1">
      <alignment horizontal="center"/>
    </xf>
    <xf numFmtId="10" fontId="1" fillId="22" borderId="28" xfId="0" applyNumberFormat="1" applyFont="1" applyFill="1" applyBorder="1" applyAlignment="1">
      <alignment horizontal="center"/>
    </xf>
    <xf numFmtId="166" fontId="1" fillId="22" borderId="13" xfId="0" applyNumberFormat="1" applyFont="1" applyFill="1" applyBorder="1" applyAlignment="1">
      <alignment horizontal="center"/>
    </xf>
    <xf numFmtId="0" fontId="0" fillId="0" borderId="0" xfId="0" applyFill="1" applyProtection="1"/>
    <xf numFmtId="0" fontId="0" fillId="0" borderId="0" xfId="0" quotePrefix="1" applyFill="1" applyProtection="1"/>
    <xf numFmtId="0" fontId="0" fillId="0" borderId="0" xfId="0" applyAlignment="1" applyProtection="1">
      <alignment horizontal="center" vertical="center"/>
    </xf>
    <xf numFmtId="49" fontId="1" fillId="0" borderId="0" xfId="0" applyNumberFormat="1" applyFont="1" applyAlignment="1">
      <alignment vertical="top"/>
    </xf>
    <xf numFmtId="49" fontId="3" fillId="0" borderId="0" xfId="0" applyNumberFormat="1" applyFont="1" applyAlignment="1">
      <alignment vertical="top"/>
    </xf>
    <xf numFmtId="49" fontId="3" fillId="0" borderId="0" xfId="0" applyNumberFormat="1" applyFont="1" applyAlignment="1">
      <alignment horizontal="center" vertical="top"/>
    </xf>
    <xf numFmtId="49" fontId="1" fillId="0" borderId="0" xfId="0" applyNumberFormat="1" applyFont="1" applyAlignment="1">
      <alignment vertical="top" wrapText="1"/>
    </xf>
    <xf numFmtId="49" fontId="1" fillId="0" borderId="0" xfId="0" quotePrefix="1" applyNumberFormat="1" applyFont="1" applyAlignment="1">
      <alignment vertical="top" wrapText="1"/>
    </xf>
    <xf numFmtId="49" fontId="1" fillId="0" borderId="0" xfId="0" applyNumberFormat="1" applyFont="1" applyAlignment="1">
      <alignment horizontal="center" vertical="top"/>
    </xf>
    <xf numFmtId="0" fontId="31" fillId="0" borderId="74" xfId="0" applyFont="1" applyBorder="1" applyAlignment="1" applyProtection="1">
      <alignment horizontal="left" vertical="center"/>
    </xf>
    <xf numFmtId="0" fontId="31" fillId="0" borderId="75" xfId="0" applyFont="1" applyBorder="1" applyAlignment="1" applyProtection="1">
      <alignment horizontal="left" vertical="center"/>
    </xf>
    <xf numFmtId="0" fontId="31" fillId="0" borderId="0" xfId="0" applyFont="1" applyBorder="1" applyAlignment="1" applyProtection="1">
      <alignment horizontal="left" vertical="center"/>
    </xf>
    <xf numFmtId="5" fontId="31" fillId="0" borderId="0" xfId="0" applyNumberFormat="1" applyFont="1" applyBorder="1" applyAlignment="1" applyProtection="1">
      <alignment horizontal="center" vertical="center"/>
    </xf>
    <xf numFmtId="49" fontId="85" fillId="0" borderId="0" xfId="0" applyNumberFormat="1" applyFont="1" applyAlignment="1">
      <alignment horizontal="center" vertical="top"/>
    </xf>
    <xf numFmtId="49" fontId="85" fillId="0" borderId="0" xfId="0" applyNumberFormat="1" applyFont="1" applyAlignment="1">
      <alignment horizontal="left" vertical="top"/>
    </xf>
    <xf numFmtId="14" fontId="1" fillId="0" borderId="0" xfId="0" applyNumberFormat="1" applyFont="1" applyAlignment="1">
      <alignment horizontal="center" vertical="top"/>
    </xf>
    <xf numFmtId="0" fontId="66" fillId="0" borderId="67" xfId="0" applyFont="1" applyFill="1" applyBorder="1" applyAlignment="1" applyProtection="1">
      <alignment horizontal="left" vertical="center"/>
    </xf>
    <xf numFmtId="0" fontId="66" fillId="0" borderId="51" xfId="0" applyFont="1" applyFill="1" applyBorder="1" applyAlignment="1" applyProtection="1">
      <alignment horizontal="left" vertical="center"/>
    </xf>
    <xf numFmtId="0" fontId="66" fillId="0" borderId="65" xfId="0" applyFont="1" applyFill="1" applyBorder="1" applyAlignment="1" applyProtection="1">
      <alignment horizontal="left" vertical="center"/>
    </xf>
    <xf numFmtId="0" fontId="31" fillId="0" borderId="32" xfId="0" applyFont="1" applyFill="1" applyBorder="1" applyAlignment="1" applyProtection="1">
      <alignment horizontal="left"/>
    </xf>
    <xf numFmtId="0" fontId="31" fillId="0" borderId="33" xfId="0" applyFont="1" applyFill="1" applyBorder="1" applyAlignment="1" applyProtection="1">
      <alignment horizontal="left"/>
    </xf>
    <xf numFmtId="0" fontId="31" fillId="0" borderId="34" xfId="0" applyFont="1" applyFill="1" applyBorder="1" applyAlignment="1" applyProtection="1">
      <alignment horizontal="left"/>
    </xf>
    <xf numFmtId="0" fontId="66" fillId="0" borderId="30" xfId="0" applyFont="1" applyFill="1" applyBorder="1" applyAlignment="1" applyProtection="1">
      <alignment horizontal="left" vertical="center"/>
    </xf>
    <xf numFmtId="0" fontId="66" fillId="0" borderId="16" xfId="0" applyFont="1" applyFill="1" applyBorder="1" applyAlignment="1" applyProtection="1">
      <alignment horizontal="left" vertical="center"/>
    </xf>
    <xf numFmtId="0" fontId="66" fillId="0" borderId="45" xfId="0" applyFont="1" applyFill="1" applyBorder="1" applyAlignment="1" applyProtection="1">
      <alignment horizontal="left" vertical="center"/>
    </xf>
    <xf numFmtId="0" fontId="31" fillId="0" borderId="8" xfId="0" applyFont="1" applyFill="1" applyBorder="1" applyAlignment="1" applyProtection="1">
      <alignment horizontal="left"/>
    </xf>
    <xf numFmtId="0" fontId="31" fillId="0" borderId="46" xfId="0" applyFont="1" applyFill="1" applyBorder="1" applyAlignment="1" applyProtection="1">
      <alignment horizontal="left"/>
    </xf>
    <xf numFmtId="0" fontId="31" fillId="0" borderId="70" xfId="0" applyFont="1" applyFill="1" applyBorder="1" applyAlignment="1" applyProtection="1">
      <alignment horizontal="left"/>
    </xf>
    <xf numFmtId="0" fontId="31" fillId="0" borderId="71" xfId="0" applyFont="1" applyBorder="1" applyAlignment="1" applyProtection="1">
      <alignment horizontal="left" vertical="center"/>
    </xf>
    <xf numFmtId="0" fontId="31" fillId="0" borderId="59" xfId="0" applyFont="1" applyBorder="1" applyAlignment="1" applyProtection="1">
      <alignment horizontal="left" vertical="center"/>
    </xf>
    <xf numFmtId="0" fontId="31" fillId="0" borderId="74" xfId="0" applyFont="1" applyBorder="1" applyAlignment="1" applyProtection="1">
      <alignment horizontal="left" vertical="center"/>
    </xf>
    <xf numFmtId="0" fontId="31" fillId="0" borderId="72" xfId="0" applyFont="1" applyBorder="1" applyAlignment="1" applyProtection="1">
      <alignment horizontal="left" vertical="center"/>
    </xf>
    <xf numFmtId="0" fontId="31" fillId="0" borderId="73" xfId="0" applyFont="1" applyBorder="1" applyAlignment="1" applyProtection="1">
      <alignment horizontal="left" vertical="center"/>
    </xf>
    <xf numFmtId="0" fontId="31" fillId="0" borderId="75" xfId="0" applyFont="1" applyBorder="1" applyAlignment="1" applyProtection="1">
      <alignment horizontal="left" vertical="center"/>
    </xf>
    <xf numFmtId="0" fontId="31" fillId="0" borderId="71" xfId="0" applyFont="1" applyBorder="1" applyAlignment="1" applyProtection="1">
      <alignment horizontal="left" vertical="center" wrapText="1"/>
    </xf>
    <xf numFmtId="0" fontId="31" fillId="0" borderId="59" xfId="0" applyFont="1" applyBorder="1" applyAlignment="1" applyProtection="1">
      <alignment horizontal="left" vertical="center" wrapText="1"/>
    </xf>
    <xf numFmtId="0" fontId="31" fillId="0" borderId="101"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31" fillId="0" borderId="72" xfId="0" applyFont="1" applyBorder="1" applyAlignment="1" applyProtection="1">
      <alignment horizontal="left" vertical="center" wrapText="1"/>
    </xf>
    <xf numFmtId="0" fontId="31" fillId="0" borderId="73" xfId="0" applyFont="1" applyBorder="1" applyAlignment="1" applyProtection="1">
      <alignment horizontal="left" vertical="center" wrapText="1"/>
    </xf>
    <xf numFmtId="5" fontId="31" fillId="0" borderId="105" xfId="0" applyNumberFormat="1" applyFont="1" applyBorder="1" applyAlignment="1" applyProtection="1">
      <alignment horizontal="center" vertical="center"/>
    </xf>
    <xf numFmtId="0" fontId="0" fillId="0" borderId="103" xfId="0" applyBorder="1" applyAlignment="1"/>
    <xf numFmtId="5" fontId="31" fillId="0" borderId="106" xfId="0" applyNumberFormat="1" applyFont="1" applyBorder="1" applyAlignment="1" applyProtection="1">
      <alignment horizontal="center" vertical="center"/>
    </xf>
    <xf numFmtId="0" fontId="0" fillId="0" borderId="107" xfId="0" applyBorder="1" applyAlignment="1"/>
    <xf numFmtId="10" fontId="31" fillId="0" borderId="106" xfId="0" applyNumberFormat="1" applyFont="1" applyBorder="1" applyAlignment="1" applyProtection="1">
      <alignment horizontal="center" vertical="center"/>
    </xf>
    <xf numFmtId="5" fontId="31" fillId="0" borderId="111" xfId="0" applyNumberFormat="1" applyFont="1" applyBorder="1" applyAlignment="1" applyProtection="1">
      <alignment horizontal="center" vertical="center"/>
    </xf>
    <xf numFmtId="0" fontId="0" fillId="0" borderId="112" xfId="0" applyBorder="1" applyAlignment="1"/>
    <xf numFmtId="10" fontId="31" fillId="0" borderId="110" xfId="0" applyNumberFormat="1" applyFont="1" applyBorder="1" applyAlignment="1" applyProtection="1">
      <alignment horizontal="center" vertical="center"/>
    </xf>
    <xf numFmtId="0" fontId="0" fillId="0" borderId="104" xfId="0" applyBorder="1" applyAlignment="1"/>
    <xf numFmtId="0" fontId="0" fillId="0" borderId="108" xfId="0" applyBorder="1" applyAlignment="1">
      <alignment horizontal="center" vertical="center"/>
    </xf>
    <xf numFmtId="0" fontId="0" fillId="0" borderId="109" xfId="0" applyBorder="1" applyAlignment="1"/>
    <xf numFmtId="0" fontId="68" fillId="0" borderId="59" xfId="0" applyFont="1" applyBorder="1" applyAlignment="1">
      <alignment horizontal="left" vertical="center"/>
    </xf>
    <xf numFmtId="0" fontId="68" fillId="0" borderId="74" xfId="0" applyFont="1" applyBorder="1" applyAlignment="1">
      <alignment horizontal="left" vertical="center"/>
    </xf>
    <xf numFmtId="0" fontId="68" fillId="0" borderId="100" xfId="0" applyFont="1" applyBorder="1" applyAlignment="1">
      <alignment horizontal="left" vertical="center"/>
    </xf>
    <xf numFmtId="0" fontId="68" fillId="0" borderId="99" xfId="0" applyFont="1" applyBorder="1" applyAlignment="1">
      <alignment horizontal="left" vertical="center"/>
    </xf>
    <xf numFmtId="0" fontId="68" fillId="0" borderId="0" xfId="0" applyFont="1" applyBorder="1" applyAlignment="1">
      <alignment horizontal="left" vertical="center"/>
    </xf>
    <xf numFmtId="0" fontId="68" fillId="0" borderId="102" xfId="0" applyFont="1" applyBorder="1" applyAlignment="1">
      <alignment horizontal="left" vertical="center"/>
    </xf>
    <xf numFmtId="0" fontId="68" fillId="0" borderId="73" xfId="0" applyFont="1" applyBorder="1" applyAlignment="1">
      <alignment horizontal="left" vertical="center"/>
    </xf>
    <xf numFmtId="0" fontId="68" fillId="0" borderId="75" xfId="0" applyFont="1" applyBorder="1" applyAlignment="1">
      <alignment horizontal="left" vertical="center"/>
    </xf>
    <xf numFmtId="0" fontId="31" fillId="0" borderId="32" xfId="0" applyFont="1" applyBorder="1" applyAlignment="1">
      <alignment horizontal="left"/>
    </xf>
    <xf numFmtId="0" fontId="31" fillId="0" borderId="33" xfId="0" applyFont="1" applyBorder="1" applyAlignment="1">
      <alignment horizontal="left"/>
    </xf>
    <xf numFmtId="0" fontId="31" fillId="0" borderId="34" xfId="0" applyFont="1" applyBorder="1" applyAlignment="1">
      <alignment horizontal="left"/>
    </xf>
    <xf numFmtId="0" fontId="8" fillId="5" borderId="3" xfId="0" applyFont="1" applyFill="1" applyBorder="1" applyAlignment="1">
      <alignment horizontal="center" wrapText="1"/>
    </xf>
    <xf numFmtId="0" fontId="8" fillId="5" borderId="16" xfId="0" applyFont="1" applyFill="1" applyBorder="1" applyAlignment="1">
      <alignment horizontal="center" wrapText="1"/>
    </xf>
    <xf numFmtId="0" fontId="84" fillId="0" borderId="45" xfId="0" applyFont="1" applyBorder="1" applyAlignment="1">
      <alignment horizontal="center"/>
    </xf>
    <xf numFmtId="169" fontId="31" fillId="0" borderId="32" xfId="0" applyNumberFormat="1" applyFont="1" applyFill="1" applyBorder="1" applyAlignment="1">
      <alignment horizontal="left"/>
    </xf>
    <xf numFmtId="169" fontId="31" fillId="0" borderId="33" xfId="0" applyNumberFormat="1" applyFont="1" applyFill="1" applyBorder="1" applyAlignment="1">
      <alignment horizontal="left"/>
    </xf>
    <xf numFmtId="169" fontId="31" fillId="0" borderId="34" xfId="0" applyNumberFormat="1" applyFont="1" applyFill="1" applyBorder="1" applyAlignment="1">
      <alignment horizontal="left"/>
    </xf>
    <xf numFmtId="0" fontId="3" fillId="0" borderId="42" xfId="0" applyFont="1" applyFill="1" applyBorder="1" applyAlignment="1">
      <alignment horizontal="left" vertical="center"/>
    </xf>
    <xf numFmtId="0" fontId="3" fillId="0" borderId="47" xfId="0" applyFont="1" applyFill="1" applyBorder="1" applyAlignment="1">
      <alignment horizontal="left" vertical="center"/>
    </xf>
    <xf numFmtId="0" fontId="3" fillId="0" borderId="4" xfId="0" applyFont="1" applyFill="1" applyBorder="1" applyAlignment="1">
      <alignment horizontal="center" vertical="top" wrapText="1"/>
    </xf>
    <xf numFmtId="0" fontId="3" fillId="0" borderId="29" xfId="0" applyFont="1" applyFill="1" applyBorder="1" applyAlignment="1">
      <alignment horizontal="center" vertical="top"/>
    </xf>
    <xf numFmtId="169" fontId="3" fillId="0" borderId="6" xfId="0" applyNumberFormat="1" applyFont="1" applyFill="1" applyBorder="1" applyAlignment="1">
      <alignment horizontal="left" vertical="center"/>
    </xf>
    <xf numFmtId="169" fontId="3" fillId="0" borderId="53" xfId="0" applyNumberFormat="1" applyFont="1" applyFill="1" applyBorder="1" applyAlignment="1">
      <alignment horizontal="left" vertical="center"/>
    </xf>
    <xf numFmtId="169" fontId="3" fillId="0" borderId="7" xfId="0" applyNumberFormat="1" applyFont="1" applyFill="1" applyBorder="1" applyAlignment="1">
      <alignment horizontal="left" vertical="center"/>
    </xf>
    <xf numFmtId="169" fontId="3" fillId="0" borderId="50" xfId="0" applyNumberFormat="1" applyFont="1" applyFill="1" applyBorder="1" applyAlignment="1">
      <alignment horizontal="left" vertical="center"/>
    </xf>
    <xf numFmtId="165" fontId="3" fillId="0" borderId="4" xfId="0" applyNumberFormat="1" applyFont="1" applyFill="1" applyBorder="1" applyAlignment="1">
      <alignment horizontal="center" vertical="center" wrapText="1"/>
    </xf>
    <xf numFmtId="165" fontId="3" fillId="0" borderId="29" xfId="0" applyNumberFormat="1" applyFont="1" applyFill="1" applyBorder="1" applyAlignment="1">
      <alignment horizontal="center" vertical="center"/>
    </xf>
    <xf numFmtId="0" fontId="12" fillId="0" borderId="17"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20"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xf>
    <xf numFmtId="169" fontId="1" fillId="0" borderId="1" xfId="0" applyNumberFormat="1" applyFont="1" applyBorder="1" applyAlignment="1">
      <alignment horizontal="center"/>
    </xf>
    <xf numFmtId="0" fontId="31" fillId="0" borderId="32" xfId="0" applyFont="1" applyFill="1" applyBorder="1" applyAlignment="1">
      <alignment horizontal="left"/>
    </xf>
    <xf numFmtId="0" fontId="31" fillId="0" borderId="34" xfId="0" applyFont="1" applyFill="1" applyBorder="1" applyAlignment="1">
      <alignment horizontal="left"/>
    </xf>
    <xf numFmtId="0" fontId="31" fillId="0" borderId="8" xfId="0" applyFont="1" applyBorder="1" applyAlignment="1">
      <alignment horizontal="left" vertical="center"/>
    </xf>
    <xf numFmtId="0" fontId="31" fillId="0" borderId="9" xfId="0" applyFont="1" applyBorder="1" applyAlignment="1">
      <alignment horizontal="left" vertical="center"/>
    </xf>
    <xf numFmtId="169" fontId="3" fillId="0" borderId="13" xfId="0" applyNumberFormat="1" applyFont="1" applyFill="1" applyBorder="1" applyAlignment="1">
      <alignment horizontal="center" vertical="center" wrapText="1"/>
    </xf>
    <xf numFmtId="169" fontId="3" fillId="0" borderId="15" xfId="0" applyNumberFormat="1" applyFont="1" applyFill="1" applyBorder="1" applyAlignment="1">
      <alignment horizontal="center" vertical="center" wrapText="1"/>
    </xf>
    <xf numFmtId="169" fontId="31" fillId="0" borderId="8" xfId="0" applyNumberFormat="1" applyFont="1" applyBorder="1" applyAlignment="1">
      <alignment horizontal="left" vertical="center"/>
    </xf>
    <xf numFmtId="169" fontId="31" fillId="0" borderId="9" xfId="0" applyNumberFormat="1" applyFont="1" applyBorder="1" applyAlignment="1">
      <alignment horizontal="left" vertical="center"/>
    </xf>
    <xf numFmtId="169" fontId="3" fillId="0" borderId="45" xfId="0" applyNumberFormat="1" applyFont="1" applyFill="1" applyBorder="1" applyAlignment="1">
      <alignment horizontal="center" vertical="top" wrapText="1"/>
    </xf>
    <xf numFmtId="169" fontId="3" fillId="0" borderId="65" xfId="0" applyNumberFormat="1" applyFont="1" applyFill="1" applyBorder="1" applyAlignment="1">
      <alignment horizontal="center" vertical="top" wrapText="1"/>
    </xf>
    <xf numFmtId="0" fontId="3" fillId="0" borderId="35"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49" xfId="0" applyFont="1" applyFill="1" applyBorder="1" applyAlignment="1">
      <alignment horizontal="center" vertical="center"/>
    </xf>
    <xf numFmtId="169" fontId="3" fillId="0" borderId="12" xfId="0" applyNumberFormat="1" applyFont="1" applyFill="1" applyBorder="1" applyAlignment="1">
      <alignment horizontal="center" vertical="top"/>
    </xf>
    <xf numFmtId="169" fontId="3" fillId="0" borderId="14" xfId="0" applyNumberFormat="1" applyFont="1" applyFill="1" applyBorder="1" applyAlignment="1">
      <alignment horizontal="center" vertical="top"/>
    </xf>
    <xf numFmtId="169" fontId="3" fillId="0" borderId="28" xfId="0" applyNumberFormat="1" applyFont="1" applyFill="1" applyBorder="1" applyAlignment="1">
      <alignment horizontal="center" vertical="top" wrapText="1"/>
    </xf>
    <xf numFmtId="169" fontId="3" fillId="0" borderId="49" xfId="0" applyNumberFormat="1" applyFont="1" applyFill="1" applyBorder="1" applyAlignment="1">
      <alignment horizontal="center" vertical="top" wrapText="1"/>
    </xf>
    <xf numFmtId="0" fontId="31" fillId="0" borderId="23"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37" xfId="0" applyFont="1" applyBorder="1" applyAlignment="1">
      <alignment horizontal="center" vertical="center" wrapText="1"/>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2" fillId="0" borderId="21" xfId="0" applyFont="1" applyBorder="1" applyAlignment="1" applyProtection="1">
      <alignment horizontal="center" vertical="center" textRotation="90"/>
    </xf>
    <xf numFmtId="0" fontId="32" fillId="0" borderId="43" xfId="0" applyFont="1" applyBorder="1" applyAlignment="1" applyProtection="1">
      <alignment horizontal="center" vertical="center" textRotation="90"/>
    </xf>
    <xf numFmtId="0" fontId="32" fillId="0" borderId="2" xfId="0" applyFont="1" applyBorder="1" applyAlignment="1" applyProtection="1">
      <alignment horizontal="center" vertical="center" textRotation="90"/>
    </xf>
    <xf numFmtId="0" fontId="5" fillId="0" borderId="20"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1" fillId="0" borderId="17" xfId="0" applyFont="1" applyBorder="1" applyAlignment="1" applyProtection="1">
      <alignment horizontal="left" vertical="center" wrapText="1"/>
    </xf>
    <xf numFmtId="0" fontId="1" fillId="0" borderId="18" xfId="0" applyFont="1" applyBorder="1" applyAlignment="1" applyProtection="1">
      <alignment horizontal="left" vertical="center"/>
    </xf>
    <xf numFmtId="0" fontId="1" fillId="0" borderId="19" xfId="0" applyFont="1" applyBorder="1" applyAlignment="1" applyProtection="1">
      <alignment horizontal="left" vertical="center"/>
    </xf>
    <xf numFmtId="0" fontId="1" fillId="0" borderId="12" xfId="0" applyFont="1" applyBorder="1" applyAlignment="1" applyProtection="1">
      <alignment horizontal="left" vertical="center" wrapText="1"/>
    </xf>
    <xf numFmtId="0" fontId="1" fillId="0" borderId="1" xfId="0" applyFont="1" applyBorder="1" applyAlignment="1" applyProtection="1">
      <alignment horizontal="left" vertical="center"/>
    </xf>
    <xf numFmtId="0" fontId="1" fillId="0" borderId="13" xfId="0" applyFont="1" applyBorder="1" applyAlignment="1" applyProtection="1">
      <alignment horizontal="left" vertical="center"/>
    </xf>
    <xf numFmtId="0" fontId="1" fillId="0" borderId="30" xfId="0" applyFont="1" applyBorder="1" applyAlignment="1" applyProtection="1">
      <alignment horizontal="left" vertical="center" wrapText="1"/>
    </xf>
    <xf numFmtId="0" fontId="1" fillId="0" borderId="16" xfId="0" applyFont="1" applyBorder="1" applyAlignment="1" applyProtection="1">
      <alignment horizontal="left" vertical="center"/>
    </xf>
    <xf numFmtId="0" fontId="1" fillId="0" borderId="31" xfId="0" applyFont="1" applyBorder="1" applyAlignment="1" applyProtection="1">
      <alignment horizontal="left" vertical="center"/>
    </xf>
    <xf numFmtId="0" fontId="1" fillId="0" borderId="16" xfId="0" applyFont="1" applyBorder="1" applyAlignment="1" applyProtection="1">
      <alignment horizontal="left" vertical="center" wrapText="1"/>
    </xf>
    <xf numFmtId="0" fontId="1" fillId="0" borderId="31"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1" fillId="0" borderId="20" xfId="0" applyFont="1" applyBorder="1" applyAlignment="1" applyProtection="1">
      <alignment horizontal="left" vertical="center"/>
    </xf>
    <xf numFmtId="0" fontId="1" fillId="0" borderId="15" xfId="0" applyFont="1" applyBorder="1" applyAlignment="1" applyProtection="1">
      <alignment horizontal="left" vertical="center"/>
    </xf>
    <xf numFmtId="0" fontId="5" fillId="0" borderId="1"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56" xfId="0" applyFont="1" applyBorder="1" applyAlignment="1" applyProtection="1">
      <alignment horizontal="center" vertical="center" wrapText="1"/>
    </xf>
    <xf numFmtId="0" fontId="5" fillId="0" borderId="54" xfId="0" applyFont="1" applyBorder="1" applyAlignment="1" applyProtection="1">
      <alignment horizontal="center" vertical="center" wrapText="1"/>
    </xf>
    <xf numFmtId="0" fontId="5" fillId="0" borderId="90" xfId="0" applyFont="1" applyBorder="1" applyAlignment="1" applyProtection="1">
      <alignment horizontal="center" vertical="center" wrapText="1"/>
    </xf>
    <xf numFmtId="0" fontId="3" fillId="0" borderId="5"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12" fillId="2" borderId="32" xfId="0" applyFont="1" applyFill="1" applyBorder="1" applyAlignment="1" applyProtection="1">
      <alignment horizontal="left" vertical="top" wrapText="1"/>
    </xf>
    <xf numFmtId="0" fontId="12" fillId="2" borderId="33" xfId="0" applyFont="1" applyFill="1" applyBorder="1" applyAlignment="1" applyProtection="1">
      <alignment horizontal="left" vertical="top" wrapText="1"/>
    </xf>
    <xf numFmtId="0" fontId="12" fillId="2" borderId="34" xfId="0" applyFont="1" applyFill="1" applyBorder="1" applyAlignment="1" applyProtection="1">
      <alignment horizontal="left" vertical="top" wrapText="1"/>
    </xf>
    <xf numFmtId="0" fontId="3" fillId="0" borderId="37"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3" fillId="0" borderId="39"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8" fillId="0" borderId="12"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5" fillId="0" borderId="68" xfId="0" applyFont="1" applyFill="1" applyBorder="1" applyAlignment="1" applyProtection="1">
      <alignment horizontal="center" vertical="center" wrapText="1"/>
    </xf>
    <xf numFmtId="0" fontId="1" fillId="0" borderId="30"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3" fillId="0" borderId="3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15" xfId="0" applyFont="1" applyBorder="1" applyAlignment="1" applyProtection="1">
      <alignment horizontal="center" vertical="center"/>
    </xf>
    <xf numFmtId="0" fontId="5" fillId="0" borderId="18"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3"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15" fillId="2" borderId="32" xfId="0" applyFont="1" applyFill="1" applyBorder="1" applyAlignment="1" applyProtection="1">
      <alignment horizontal="left" vertical="top" wrapText="1"/>
    </xf>
    <xf numFmtId="0" fontId="15" fillId="2" borderId="33" xfId="0" applyFont="1" applyFill="1" applyBorder="1" applyAlignment="1" applyProtection="1">
      <alignment horizontal="left" vertical="top" wrapText="1"/>
    </xf>
    <xf numFmtId="0" fontId="15" fillId="2" borderId="34" xfId="0" applyFont="1" applyFill="1" applyBorder="1" applyAlignment="1" applyProtection="1">
      <alignment horizontal="left" vertical="top" wrapText="1"/>
    </xf>
    <xf numFmtId="0" fontId="3" fillId="0" borderId="5" xfId="0" applyFont="1" applyBorder="1" applyAlignment="1" applyProtection="1">
      <alignment horizontal="center" vertical="center" wrapText="1"/>
    </xf>
    <xf numFmtId="0" fontId="3" fillId="0" borderId="38" xfId="0" applyFont="1" applyBorder="1" applyAlignment="1" applyProtection="1">
      <alignment horizontal="center" vertical="center"/>
    </xf>
    <xf numFmtId="0" fontId="3" fillId="0" borderId="39" xfId="0" applyFont="1" applyBorder="1" applyAlignment="1" applyProtection="1">
      <alignment horizontal="center" vertical="center"/>
    </xf>
    <xf numFmtId="0" fontId="12" fillId="0" borderId="12" xfId="0" applyFont="1" applyBorder="1" applyAlignment="1" applyProtection="1">
      <alignment horizontal="left" vertical="center" wrapText="1"/>
    </xf>
    <xf numFmtId="0" fontId="12" fillId="0" borderId="1" xfId="0" applyFont="1" applyBorder="1" applyAlignment="1" applyProtection="1">
      <alignment horizontal="left" vertical="center"/>
    </xf>
    <xf numFmtId="0" fontId="12" fillId="0" borderId="13" xfId="0" applyFont="1" applyBorder="1" applyAlignment="1" applyProtection="1">
      <alignment horizontal="left" vertical="center"/>
    </xf>
    <xf numFmtId="0" fontId="24" fillId="0" borderId="91" xfId="0" applyFont="1" applyBorder="1" applyAlignment="1" applyProtection="1">
      <alignment horizontal="center" vertical="center" wrapText="1"/>
    </xf>
    <xf numFmtId="0" fontId="0" fillId="0" borderId="92" xfId="0" applyBorder="1" applyAlignment="1" applyProtection="1">
      <alignment horizontal="center" vertical="center" wrapText="1"/>
    </xf>
    <xf numFmtId="0" fontId="0" fillId="0" borderId="93" xfId="0" applyBorder="1" applyAlignment="1" applyProtection="1">
      <alignment horizontal="center" vertical="center" wrapText="1"/>
    </xf>
    <xf numFmtId="0" fontId="3" fillId="0" borderId="91" xfId="0" applyFont="1" applyBorder="1" applyAlignment="1" applyProtection="1">
      <alignment horizontal="center" vertical="center"/>
    </xf>
    <xf numFmtId="0" fontId="3" fillId="0" borderId="92" xfId="0" applyFont="1" applyBorder="1" applyAlignment="1" applyProtection="1">
      <alignment horizontal="center" vertical="center"/>
    </xf>
    <xf numFmtId="0" fontId="3" fillId="0" borderId="93" xfId="0" applyFont="1" applyBorder="1" applyAlignment="1" applyProtection="1">
      <alignment horizontal="center" vertical="center"/>
    </xf>
    <xf numFmtId="0" fontId="12" fillId="0" borderId="17" xfId="0" applyFont="1" applyBorder="1" applyAlignment="1" applyProtection="1">
      <alignment horizontal="left" vertical="center" wrapText="1"/>
    </xf>
    <xf numFmtId="0" fontId="12" fillId="0" borderId="18" xfId="0" applyFont="1" applyBorder="1" applyAlignment="1" applyProtection="1">
      <alignment horizontal="left" vertical="center"/>
    </xf>
    <xf numFmtId="0" fontId="12" fillId="0" borderId="19" xfId="0" applyFont="1" applyBorder="1" applyAlignment="1" applyProtection="1">
      <alignment horizontal="left" vertical="center"/>
    </xf>
    <xf numFmtId="0" fontId="12" fillId="0" borderId="30" xfId="0" applyFont="1" applyBorder="1" applyAlignment="1" applyProtection="1">
      <alignment horizontal="left" vertical="center" wrapText="1"/>
    </xf>
    <xf numFmtId="0" fontId="12" fillId="0" borderId="16" xfId="0" applyFont="1" applyBorder="1" applyAlignment="1" applyProtection="1">
      <alignment horizontal="left" vertical="center" wrapText="1"/>
    </xf>
    <xf numFmtId="0" fontId="12" fillId="0" borderId="31"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2" fillId="0" borderId="20" xfId="0" applyFont="1" applyBorder="1" applyAlignment="1" applyProtection="1">
      <alignment horizontal="left" vertical="center"/>
    </xf>
    <xf numFmtId="0" fontId="12" fillId="0" borderId="15" xfId="0" applyFont="1" applyBorder="1" applyAlignment="1" applyProtection="1">
      <alignment horizontal="left" vertical="center"/>
    </xf>
    <xf numFmtId="0" fontId="71" fillId="0" borderId="0" xfId="0" applyFont="1" applyAlignment="1" applyProtection="1">
      <alignment horizontal="center"/>
    </xf>
    <xf numFmtId="0" fontId="3" fillId="0" borderId="40"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1" xfId="0" applyFont="1" applyBorder="1" applyAlignment="1" applyProtection="1">
      <alignment horizontal="center" vertical="center"/>
    </xf>
    <xf numFmtId="0" fontId="12" fillId="0" borderId="47" xfId="0" applyFont="1" applyBorder="1" applyAlignment="1" applyProtection="1">
      <alignment horizontal="left" vertical="center" wrapText="1"/>
    </xf>
    <xf numFmtId="0" fontId="12" fillId="0" borderId="48" xfId="0" applyFont="1" applyBorder="1" applyAlignment="1" applyProtection="1">
      <alignment horizontal="left" vertical="center"/>
    </xf>
    <xf numFmtId="0" fontId="12" fillId="0" borderId="49" xfId="0" applyFont="1" applyBorder="1" applyAlignment="1" applyProtection="1">
      <alignment horizontal="left" vertical="center"/>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12" fillId="0" borderId="30"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12" fillId="0" borderId="31"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1" fillId="4" borderId="5" xfId="0" applyFont="1" applyFill="1" applyBorder="1" applyAlignment="1" applyProtection="1">
      <alignment horizontal="left" vertical="top" wrapText="1"/>
    </xf>
    <xf numFmtId="0" fontId="1" fillId="4" borderId="22" xfId="0" applyFont="1" applyFill="1" applyBorder="1" applyAlignment="1" applyProtection="1">
      <alignment horizontal="left" vertical="top" wrapText="1"/>
    </xf>
    <xf numFmtId="0" fontId="3" fillId="0" borderId="23"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5" xfId="0" applyFont="1" applyFill="1" applyBorder="1" applyAlignment="1" applyProtection="1">
      <alignment horizontal="center" vertical="center" wrapText="1"/>
    </xf>
    <xf numFmtId="3" fontId="14" fillId="0" borderId="20" xfId="0" applyNumberFormat="1" applyFont="1" applyBorder="1" applyAlignment="1" applyProtection="1">
      <alignment horizontal="center" vertical="center"/>
    </xf>
    <xf numFmtId="3" fontId="14" fillId="0" borderId="15" xfId="0" applyNumberFormat="1" applyFont="1" applyBorder="1" applyAlignment="1" applyProtection="1">
      <alignment horizontal="center" vertical="center"/>
    </xf>
    <xf numFmtId="0" fontId="26" fillId="0" borderId="18"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6" fillId="0" borderId="13" xfId="0" applyFont="1" applyBorder="1" applyAlignment="1" applyProtection="1">
      <alignment horizontal="left" vertical="center" wrapText="1"/>
    </xf>
    <xf numFmtId="3" fontId="3" fillId="3" borderId="12" xfId="0" applyNumberFormat="1" applyFont="1" applyFill="1" applyBorder="1" applyAlignment="1" applyProtection="1">
      <alignment horizontal="center" vertical="center"/>
    </xf>
    <xf numFmtId="0" fontId="1" fillId="4" borderId="26" xfId="0" applyFont="1" applyFill="1" applyBorder="1" applyAlignment="1" applyProtection="1">
      <alignment horizontal="left" vertical="center"/>
    </xf>
    <xf numFmtId="0" fontId="3" fillId="4" borderId="32" xfId="0" applyFont="1" applyFill="1" applyBorder="1" applyAlignment="1" applyProtection="1">
      <alignment horizontal="center" vertical="center"/>
    </xf>
    <xf numFmtId="0" fontId="3" fillId="4" borderId="34" xfId="0" applyFont="1" applyFill="1" applyBorder="1" applyAlignment="1" applyProtection="1">
      <alignment horizontal="center" vertical="center"/>
    </xf>
    <xf numFmtId="0" fontId="6" fillId="0" borderId="37" xfId="0" applyFont="1" applyFill="1" applyBorder="1" applyAlignment="1" applyProtection="1">
      <alignment horizontal="center" vertical="center" wrapText="1"/>
    </xf>
    <xf numFmtId="0" fontId="6" fillId="0" borderId="38" xfId="0"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3" fillId="0" borderId="37" xfId="0" applyFont="1" applyBorder="1" applyAlignment="1" applyProtection="1">
      <alignment horizontal="center" vertical="center"/>
    </xf>
    <xf numFmtId="0" fontId="14" fillId="0" borderId="36" xfId="0" applyFont="1" applyBorder="1" applyAlignment="1" applyProtection="1">
      <alignment horizontal="left" vertical="center" wrapText="1"/>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1" fillId="0" borderId="45" xfId="0" applyFont="1" applyBorder="1" applyAlignment="1" applyProtection="1">
      <alignment horizontal="left" vertical="center" wrapText="1"/>
    </xf>
    <xf numFmtId="0" fontId="6" fillId="0" borderId="36" xfId="0" applyFont="1" applyBorder="1" applyAlignment="1" applyProtection="1">
      <alignment horizontal="center" vertical="center" wrapText="1"/>
    </xf>
    <xf numFmtId="0" fontId="1" fillId="0" borderId="20"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1" fillId="0" borderId="8" xfId="0" applyFont="1" applyBorder="1" applyAlignment="1" applyProtection="1">
      <alignment horizontal="left" vertical="center" wrapText="1"/>
    </xf>
    <xf numFmtId="0" fontId="1" fillId="0" borderId="46" xfId="0" applyFont="1" applyBorder="1" applyAlignment="1" applyProtection="1">
      <alignment horizontal="left" vertical="center" wrapText="1"/>
    </xf>
    <xf numFmtId="0" fontId="1" fillId="0" borderId="70" xfId="0" applyFont="1" applyBorder="1" applyAlignment="1" applyProtection="1">
      <alignment horizontal="left" vertical="center" wrapText="1"/>
    </xf>
    <xf numFmtId="0" fontId="1" fillId="0" borderId="35" xfId="0" applyFont="1" applyBorder="1" applyAlignment="1" applyProtection="1">
      <alignment horizontal="left" vertical="center" wrapText="1"/>
    </xf>
    <xf numFmtId="0" fontId="1" fillId="0" borderId="21" xfId="0" applyFont="1" applyBorder="1" applyAlignment="1" applyProtection="1">
      <alignment horizontal="left" vertical="center" wrapText="1"/>
    </xf>
    <xf numFmtId="0" fontId="1" fillId="0" borderId="8" xfId="0" applyFont="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1" fillId="0" borderId="70"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45" xfId="0" applyFont="1" applyBorder="1" applyAlignment="1" applyProtection="1">
      <alignment horizontal="center" vertical="center" wrapText="1"/>
    </xf>
    <xf numFmtId="0" fontId="1" fillId="0" borderId="82" xfId="0" applyFont="1" applyBorder="1" applyAlignment="1" applyProtection="1">
      <alignment horizontal="center" vertical="center" wrapText="1"/>
    </xf>
    <xf numFmtId="0" fontId="1" fillId="0" borderId="55" xfId="0" applyFont="1" applyBorder="1" applyAlignment="1" applyProtection="1">
      <alignment horizontal="center" vertical="center" wrapText="1"/>
    </xf>
    <xf numFmtId="0" fontId="1" fillId="0" borderId="58" xfId="0" applyFont="1" applyBorder="1" applyAlignment="1" applyProtection="1">
      <alignment horizontal="center" vertical="center" wrapText="1"/>
    </xf>
    <xf numFmtId="0" fontId="3" fillId="0" borderId="34" xfId="0" applyFont="1" applyFill="1" applyBorder="1" applyAlignment="1" applyProtection="1">
      <alignment horizontal="left" vertical="center"/>
    </xf>
    <xf numFmtId="0" fontId="14" fillId="0" borderId="39" xfId="0" applyFont="1" applyBorder="1" applyAlignment="1" applyProtection="1">
      <alignment horizontal="left" vertical="center" wrapText="1"/>
    </xf>
    <xf numFmtId="3" fontId="14" fillId="0" borderId="7" xfId="0" applyNumberFormat="1" applyFont="1" applyFill="1" applyBorder="1" applyAlignment="1" applyProtection="1">
      <alignment horizontal="center" vertical="center" wrapText="1"/>
    </xf>
    <xf numFmtId="3" fontId="14" fillId="0" borderId="24" xfId="0" applyNumberFormat="1" applyFont="1" applyFill="1" applyBorder="1" applyAlignment="1" applyProtection="1">
      <alignment horizontal="center" vertical="center" wrapText="1"/>
    </xf>
    <xf numFmtId="0" fontId="1" fillId="0" borderId="67" xfId="0" applyFont="1" applyBorder="1" applyAlignment="1" applyProtection="1">
      <alignment horizontal="center" vertical="center" wrapText="1"/>
    </xf>
    <xf numFmtId="0" fontId="1" fillId="0" borderId="51" xfId="0" applyFont="1" applyBorder="1" applyAlignment="1" applyProtection="1">
      <alignment horizontal="center" vertical="center" wrapText="1"/>
    </xf>
    <xf numFmtId="0" fontId="1" fillId="0" borderId="65" xfId="0" applyFont="1" applyBorder="1" applyAlignment="1" applyProtection="1">
      <alignment horizontal="center" vertical="center" wrapText="1"/>
    </xf>
    <xf numFmtId="0" fontId="12" fillId="0" borderId="67" xfId="0" applyFont="1" applyBorder="1" applyAlignment="1" applyProtection="1">
      <alignment vertical="center" wrapText="1"/>
    </xf>
    <xf numFmtId="0" fontId="12" fillId="0" borderId="51" xfId="0" applyFont="1" applyBorder="1" applyAlignment="1" applyProtection="1">
      <alignment vertical="center" wrapText="1"/>
    </xf>
    <xf numFmtId="0" fontId="12" fillId="0" borderId="68"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46" xfId="0" applyFont="1" applyBorder="1" applyAlignment="1" applyProtection="1">
      <alignment vertical="center" wrapText="1"/>
    </xf>
    <xf numFmtId="0" fontId="12" fillId="0" borderId="9" xfId="0" applyFont="1" applyBorder="1" applyAlignment="1" applyProtection="1">
      <alignment vertical="center" wrapText="1"/>
    </xf>
    <xf numFmtId="0" fontId="12" fillId="0" borderId="30" xfId="0" applyFont="1" applyBorder="1" applyAlignment="1" applyProtection="1">
      <alignment vertical="center" wrapText="1"/>
    </xf>
    <xf numFmtId="0" fontId="12" fillId="0" borderId="16" xfId="0" applyFont="1" applyBorder="1" applyAlignment="1" applyProtection="1">
      <alignment vertical="center" wrapText="1"/>
    </xf>
    <xf numFmtId="0" fontId="12" fillId="0" borderId="31" xfId="0" applyFont="1" applyBorder="1" applyAlignment="1" applyProtection="1">
      <alignment vertical="center" wrapText="1"/>
    </xf>
    <xf numFmtId="0" fontId="3" fillId="13" borderId="5" xfId="0" applyFont="1" applyFill="1" applyBorder="1" applyAlignment="1" applyProtection="1">
      <alignment horizontal="center" vertical="center" wrapText="1"/>
    </xf>
    <xf numFmtId="0" fontId="3" fillId="13" borderId="23" xfId="0" applyFont="1" applyFill="1" applyBorder="1" applyAlignment="1" applyProtection="1">
      <alignment horizontal="center" vertical="center" wrapText="1"/>
    </xf>
    <xf numFmtId="0" fontId="3" fillId="13" borderId="6" xfId="0" applyFont="1" applyFill="1" applyBorder="1" applyAlignment="1" applyProtection="1">
      <alignment horizontal="center" vertical="center" wrapText="1"/>
    </xf>
    <xf numFmtId="0" fontId="3" fillId="13" borderId="26" xfId="0" applyFont="1" applyFill="1" applyBorder="1" applyAlignment="1" applyProtection="1">
      <alignment horizontal="center" vertical="center" wrapText="1"/>
    </xf>
    <xf numFmtId="3" fontId="3" fillId="0" borderId="37" xfId="0" applyNumberFormat="1" applyFont="1" applyFill="1" applyBorder="1" applyAlignment="1" applyProtection="1">
      <alignment horizontal="center" vertical="center" wrapText="1"/>
    </xf>
    <xf numFmtId="3" fontId="3" fillId="0" borderId="38" xfId="0" applyNumberFormat="1" applyFont="1" applyFill="1" applyBorder="1" applyAlignment="1" applyProtection="1">
      <alignment horizontal="center" vertical="center" wrapText="1"/>
    </xf>
    <xf numFmtId="3" fontId="3" fillId="0" borderId="39" xfId="0" applyNumberFormat="1" applyFont="1" applyFill="1" applyBorder="1" applyAlignment="1" applyProtection="1">
      <alignment horizontal="center" vertical="center" wrapText="1"/>
    </xf>
    <xf numFmtId="0" fontId="12" fillId="0" borderId="8" xfId="0" applyFont="1" applyBorder="1" applyAlignment="1" applyProtection="1">
      <alignment horizontal="left" vertical="center" wrapText="1"/>
    </xf>
    <xf numFmtId="0" fontId="12" fillId="0" borderId="46"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67" xfId="0" applyFont="1" applyBorder="1" applyAlignment="1" applyProtection="1">
      <alignment horizontal="left" vertical="center" wrapText="1"/>
    </xf>
    <xf numFmtId="0" fontId="12" fillId="0" borderId="51" xfId="0" applyFont="1" applyBorder="1" applyAlignment="1" applyProtection="1">
      <alignment horizontal="left" vertical="center" wrapText="1"/>
    </xf>
    <xf numFmtId="0" fontId="12" fillId="0" borderId="68" xfId="0" applyFont="1" applyBorder="1" applyAlignment="1" applyProtection="1">
      <alignment horizontal="left" vertical="center" wrapText="1"/>
    </xf>
    <xf numFmtId="0" fontId="3" fillId="0" borderId="5"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2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0" fontId="3" fillId="0" borderId="25" xfId="0" applyFont="1" applyFill="1" applyBorder="1" applyAlignment="1" applyProtection="1">
      <alignment horizontal="left" vertical="center"/>
    </xf>
    <xf numFmtId="0" fontId="3" fillId="13" borderId="37" xfId="0" applyFont="1" applyFill="1" applyBorder="1" applyAlignment="1" applyProtection="1">
      <alignment horizontal="center" vertical="center"/>
    </xf>
    <xf numFmtId="0" fontId="3" fillId="13" borderId="38" xfId="0" applyFont="1" applyFill="1" applyBorder="1" applyAlignment="1" applyProtection="1">
      <alignment horizontal="center" vertical="center"/>
    </xf>
    <xf numFmtId="0" fontId="3" fillId="13" borderId="39" xfId="0" applyFont="1" applyFill="1" applyBorder="1" applyAlignment="1" applyProtection="1">
      <alignment horizontal="center" vertical="center"/>
    </xf>
    <xf numFmtId="0" fontId="3" fillId="13" borderId="37" xfId="0" applyFont="1" applyFill="1" applyBorder="1" applyAlignment="1" applyProtection="1">
      <alignment horizontal="center" vertical="center" wrapText="1"/>
    </xf>
    <xf numFmtId="0" fontId="3" fillId="13" borderId="38" xfId="0" applyFont="1" applyFill="1" applyBorder="1" applyAlignment="1" applyProtection="1">
      <alignment horizontal="center" vertical="center" wrapText="1"/>
    </xf>
    <xf numFmtId="0" fontId="3" fillId="13" borderId="39" xfId="0" applyFont="1" applyFill="1" applyBorder="1" applyAlignment="1" applyProtection="1">
      <alignment horizontal="center" vertical="center" wrapText="1"/>
    </xf>
    <xf numFmtId="0" fontId="78" fillId="2" borderId="32" xfId="0" applyFont="1" applyFill="1" applyBorder="1" applyAlignment="1" applyProtection="1">
      <alignment horizontal="left" vertical="top" wrapText="1"/>
    </xf>
    <xf numFmtId="0" fontId="3" fillId="13" borderId="5" xfId="0" applyFont="1" applyFill="1" applyBorder="1" applyAlignment="1" applyProtection="1">
      <alignment horizontal="right" vertical="center"/>
    </xf>
    <xf numFmtId="0" fontId="3" fillId="13" borderId="22" xfId="0" applyFont="1" applyFill="1" applyBorder="1" applyAlignment="1" applyProtection="1">
      <alignment horizontal="right" vertical="center"/>
    </xf>
    <xf numFmtId="0" fontId="3" fillId="13" borderId="23" xfId="0" applyFont="1" applyFill="1" applyBorder="1" applyAlignment="1" applyProtection="1">
      <alignment horizontal="right" vertical="center"/>
    </xf>
    <xf numFmtId="0" fontId="3" fillId="13" borderId="6" xfId="0" applyFont="1" applyFill="1" applyBorder="1" applyAlignment="1" applyProtection="1">
      <alignment horizontal="right" vertical="center"/>
    </xf>
    <xf numFmtId="0" fontId="3" fillId="13" borderId="0" xfId="0" applyFont="1" applyFill="1" applyBorder="1" applyAlignment="1" applyProtection="1">
      <alignment horizontal="right" vertical="center"/>
    </xf>
    <xf numFmtId="0" fontId="3" fillId="13" borderId="26" xfId="0" applyFont="1" applyFill="1" applyBorder="1" applyAlignment="1" applyProtection="1">
      <alignment horizontal="right" vertical="center"/>
    </xf>
    <xf numFmtId="0" fontId="3" fillId="13" borderId="7" xfId="0" applyFont="1" applyFill="1" applyBorder="1" applyAlignment="1" applyProtection="1">
      <alignment horizontal="right" vertical="center"/>
    </xf>
    <xf numFmtId="0" fontId="3" fillId="13" borderId="24" xfId="0" applyFont="1" applyFill="1" applyBorder="1" applyAlignment="1" applyProtection="1">
      <alignment horizontal="right" vertical="center"/>
    </xf>
    <xf numFmtId="0" fontId="3" fillId="13" borderId="25" xfId="0" applyFont="1" applyFill="1" applyBorder="1" applyAlignment="1" applyProtection="1">
      <alignment horizontal="right" vertical="center"/>
    </xf>
    <xf numFmtId="0" fontId="3" fillId="13" borderId="32" xfId="0" applyFont="1" applyFill="1" applyBorder="1" applyAlignment="1" applyProtection="1">
      <alignment horizontal="center" vertical="center"/>
    </xf>
    <xf numFmtId="0" fontId="3" fillId="13" borderId="33" xfId="0" applyFont="1" applyFill="1" applyBorder="1" applyAlignment="1" applyProtection="1">
      <alignment horizontal="center" vertical="center"/>
    </xf>
    <xf numFmtId="0" fontId="3" fillId="13" borderId="34" xfId="0" applyFont="1" applyFill="1" applyBorder="1" applyAlignment="1" applyProtection="1">
      <alignment horizontal="center" vertical="center"/>
    </xf>
    <xf numFmtId="0" fontId="35" fillId="0" borderId="56"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0" fontId="35" fillId="0" borderId="57" xfId="0" applyFont="1" applyBorder="1" applyAlignment="1" applyProtection="1">
      <alignment horizontal="center" vertical="center" wrapText="1"/>
    </xf>
    <xf numFmtId="0" fontId="35" fillId="0" borderId="58" xfId="0" applyFont="1" applyBorder="1" applyAlignment="1" applyProtection="1">
      <alignment horizontal="center" vertical="center" wrapText="1"/>
    </xf>
    <xf numFmtId="0" fontId="35" fillId="0" borderId="21" xfId="0" applyFont="1" applyBorder="1" applyAlignment="1" applyProtection="1">
      <alignment horizontal="center" vertical="center" wrapText="1"/>
    </xf>
    <xf numFmtId="0" fontId="35" fillId="0" borderId="2" xfId="0" applyFont="1" applyBorder="1" applyAlignment="1" applyProtection="1">
      <alignment horizontal="center" vertical="center" wrapText="1"/>
    </xf>
    <xf numFmtId="0" fontId="79" fillId="4" borderId="56" xfId="0" applyFont="1" applyFill="1" applyBorder="1" applyAlignment="1" applyProtection="1">
      <alignment horizontal="center" vertical="center" wrapText="1"/>
    </xf>
    <xf numFmtId="0" fontId="79" fillId="4" borderId="54" xfId="0" applyFont="1" applyFill="1" applyBorder="1" applyAlignment="1" applyProtection="1">
      <alignment horizontal="center" vertical="center" wrapText="1"/>
    </xf>
    <xf numFmtId="0" fontId="79" fillId="4" borderId="57" xfId="0" applyFont="1" applyFill="1" applyBorder="1" applyAlignment="1" applyProtection="1">
      <alignment horizontal="center" vertical="center" wrapText="1"/>
    </xf>
    <xf numFmtId="0" fontId="79" fillId="4" borderId="4" xfId="0" applyFont="1" applyFill="1" applyBorder="1" applyAlignment="1" applyProtection="1">
      <alignment horizontal="center" vertical="center" wrapText="1"/>
    </xf>
    <xf numFmtId="0" fontId="79" fillId="4" borderId="55" xfId="0" applyFont="1" applyFill="1" applyBorder="1" applyAlignment="1" applyProtection="1">
      <alignment horizontal="center" vertical="center" wrapText="1"/>
    </xf>
    <xf numFmtId="0" fontId="79" fillId="4" borderId="58" xfId="0" applyFont="1" applyFill="1" applyBorder="1" applyAlignment="1" applyProtection="1">
      <alignment horizontal="center" vertical="center" wrapText="1"/>
    </xf>
    <xf numFmtId="0" fontId="42" fillId="0" borderId="37" xfId="0" applyFont="1" applyBorder="1" applyAlignment="1" applyProtection="1">
      <alignment horizontal="center" vertical="center" textRotation="90" wrapText="1"/>
    </xf>
    <xf numFmtId="0" fontId="42" fillId="0" borderId="38" xfId="0" applyFont="1" applyBorder="1" applyAlignment="1" applyProtection="1">
      <alignment horizontal="center" vertical="center" textRotation="90" wrapText="1"/>
    </xf>
    <xf numFmtId="0" fontId="42" fillId="0" borderId="39" xfId="0" applyFont="1" applyBorder="1" applyAlignment="1" applyProtection="1">
      <alignment horizontal="center" vertical="center" textRotation="90" wrapText="1"/>
    </xf>
    <xf numFmtId="0" fontId="31" fillId="0" borderId="3" xfId="0" applyFont="1" applyBorder="1" applyAlignment="1" applyProtection="1">
      <alignment horizontal="center" vertical="center" wrapText="1"/>
    </xf>
    <xf numFmtId="0" fontId="31" fillId="0" borderId="45" xfId="0" applyFont="1" applyBorder="1" applyAlignment="1" applyProtection="1">
      <alignment horizontal="center" vertical="center" wrapText="1"/>
    </xf>
    <xf numFmtId="164" fontId="35" fillId="0" borderId="77" xfId="0" applyNumberFormat="1" applyFont="1" applyBorder="1" applyAlignment="1" applyProtection="1">
      <alignment horizontal="center" vertical="center" wrapText="1"/>
    </xf>
    <xf numFmtId="164" fontId="35" fillId="0" borderId="89" xfId="0" applyNumberFormat="1" applyFont="1" applyBorder="1" applyAlignment="1" applyProtection="1">
      <alignment horizontal="center" vertical="center" wrapText="1"/>
    </xf>
    <xf numFmtId="164" fontId="35" fillId="0" borderId="88" xfId="0" applyNumberFormat="1" applyFont="1" applyBorder="1" applyAlignment="1" applyProtection="1">
      <alignment horizontal="center" vertical="center" wrapText="1"/>
    </xf>
    <xf numFmtId="164" fontId="35" fillId="0" borderId="87" xfId="0" applyNumberFormat="1" applyFont="1" applyBorder="1" applyAlignment="1" applyProtection="1">
      <alignment horizontal="center" vertical="center" wrapText="1"/>
    </xf>
    <xf numFmtId="164" fontId="35" fillId="0" borderId="84" xfId="0" applyNumberFormat="1" applyFont="1" applyBorder="1" applyAlignment="1" applyProtection="1">
      <alignment horizontal="center" vertical="center" wrapText="1"/>
    </xf>
    <xf numFmtId="164" fontId="35" fillId="0" borderId="85" xfId="0" applyNumberFormat="1" applyFont="1" applyBorder="1" applyAlignment="1" applyProtection="1">
      <alignment horizontal="center" vertical="center" wrapText="1"/>
    </xf>
    <xf numFmtId="0" fontId="48" fillId="0" borderId="16" xfId="0" applyFont="1" applyFill="1" applyBorder="1" applyAlignment="1" applyProtection="1">
      <alignment horizontal="center" vertical="center" wrapText="1"/>
    </xf>
    <xf numFmtId="0" fontId="48" fillId="0" borderId="45" xfId="0" applyFont="1" applyFill="1" applyBorder="1" applyAlignment="1" applyProtection="1">
      <alignment horizontal="center" vertical="center" wrapText="1"/>
    </xf>
    <xf numFmtId="0" fontId="31" fillId="0" borderId="21" xfId="0" applyFont="1" applyFill="1" applyBorder="1" applyAlignment="1" applyProtection="1">
      <alignment horizontal="center" vertical="center" wrapText="1"/>
    </xf>
    <xf numFmtId="0" fontId="31" fillId="0" borderId="43"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164" fontId="35" fillId="0" borderId="3" xfId="0" applyNumberFormat="1" applyFont="1" applyFill="1" applyBorder="1" applyAlignment="1" applyProtection="1">
      <alignment horizontal="center" vertical="center" wrapText="1"/>
    </xf>
    <xf numFmtId="164" fontId="35" fillId="0" borderId="16" xfId="0" applyNumberFormat="1" applyFont="1" applyFill="1" applyBorder="1" applyAlignment="1" applyProtection="1">
      <alignment horizontal="center" vertical="center" wrapText="1"/>
    </xf>
    <xf numFmtId="164" fontId="31" fillId="0" borderId="3" xfId="0" applyNumberFormat="1" applyFont="1" applyBorder="1" applyAlignment="1" applyProtection="1">
      <alignment horizontal="center" vertical="center" wrapText="1"/>
    </xf>
    <xf numFmtId="164" fontId="31" fillId="0" borderId="16" xfId="0" applyNumberFormat="1" applyFont="1" applyBorder="1" applyAlignment="1" applyProtection="1">
      <alignment horizontal="center" vertical="center" wrapText="1"/>
    </xf>
    <xf numFmtId="4" fontId="31" fillId="0" borderId="3" xfId="0" applyNumberFormat="1" applyFont="1" applyBorder="1" applyAlignment="1" applyProtection="1">
      <alignment horizontal="center" vertical="center" wrapText="1"/>
    </xf>
    <xf numFmtId="4" fontId="31" fillId="0" borderId="16" xfId="0" applyNumberFormat="1" applyFont="1" applyBorder="1" applyAlignment="1" applyProtection="1">
      <alignment horizontal="center" vertical="center" wrapText="1"/>
    </xf>
    <xf numFmtId="0" fontId="31" fillId="0" borderId="16" xfId="0" applyFont="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63" xfId="0" applyBorder="1" applyAlignment="1" applyProtection="1">
      <alignment horizontal="center" vertical="center"/>
    </xf>
    <xf numFmtId="0" fontId="0" fillId="0" borderId="0" xfId="0" applyAlignment="1" applyProtection="1">
      <alignment horizontal="center" vertical="center"/>
    </xf>
    <xf numFmtId="0" fontId="58" fillId="0" borderId="5" xfId="0" applyFont="1" applyBorder="1" applyAlignment="1" applyProtection="1">
      <alignment horizontal="justify" vertical="center" wrapText="1"/>
    </xf>
    <xf numFmtId="0" fontId="58" fillId="0" borderId="22" xfId="0" applyFont="1" applyBorder="1" applyAlignment="1" applyProtection="1">
      <alignment horizontal="justify" vertical="center" wrapText="1"/>
    </xf>
    <xf numFmtId="0" fontId="58" fillId="0" borderId="23" xfId="0" applyFont="1" applyBorder="1" applyAlignment="1" applyProtection="1">
      <alignment horizontal="justify" vertical="center" wrapText="1"/>
    </xf>
    <xf numFmtId="0" fontId="58" fillId="0" borderId="7" xfId="0" applyFont="1" applyBorder="1" applyAlignment="1" applyProtection="1">
      <alignment horizontal="justify" vertical="center" wrapText="1"/>
    </xf>
    <xf numFmtId="0" fontId="58" fillId="0" borderId="24" xfId="0" applyFont="1" applyBorder="1" applyAlignment="1" applyProtection="1">
      <alignment horizontal="justify" vertical="center" wrapText="1"/>
    </xf>
    <xf numFmtId="0" fontId="58" fillId="0" borderId="25" xfId="0" applyFont="1" applyBorder="1" applyAlignment="1" applyProtection="1">
      <alignment horizontal="justify" vertical="center" wrapText="1"/>
    </xf>
    <xf numFmtId="0" fontId="59" fillId="0" borderId="32" xfId="0" applyFont="1" applyBorder="1" applyAlignment="1" applyProtection="1">
      <alignment horizontal="center" vertical="center" wrapText="1"/>
    </xf>
    <xf numFmtId="0" fontId="59" fillId="0" borderId="34" xfId="0" applyFont="1" applyBorder="1" applyAlignment="1" applyProtection="1">
      <alignment horizontal="center" vertical="center" wrapText="1"/>
    </xf>
    <xf numFmtId="0" fontId="59" fillId="0" borderId="33" xfId="0" applyFont="1" applyBorder="1" applyAlignment="1" applyProtection="1">
      <alignment horizontal="center" vertical="center" wrapText="1"/>
    </xf>
    <xf numFmtId="0" fontId="62" fillId="0" borderId="32" xfId="0" applyFont="1" applyBorder="1" applyAlignment="1" applyProtection="1">
      <alignment horizontal="justify" vertical="center" wrapText="1"/>
    </xf>
    <xf numFmtId="0" fontId="62" fillId="0" borderId="34" xfId="0" applyFont="1" applyBorder="1" applyAlignment="1" applyProtection="1">
      <alignment horizontal="justify" vertical="center" wrapText="1"/>
    </xf>
    <xf numFmtId="0" fontId="58" fillId="0" borderId="37" xfId="0" applyFont="1" applyBorder="1" applyAlignment="1" applyProtection="1">
      <alignment horizontal="justify" vertical="center" textRotation="90" wrapText="1"/>
    </xf>
    <xf numFmtId="0" fontId="58" fillId="0" borderId="38" xfId="0" applyFont="1" applyBorder="1" applyAlignment="1" applyProtection="1">
      <alignment horizontal="justify" vertical="center" textRotation="90" wrapText="1"/>
    </xf>
    <xf numFmtId="0" fontId="58" fillId="0" borderId="39" xfId="0" applyFont="1" applyBorder="1" applyAlignment="1" applyProtection="1">
      <alignment horizontal="justify" vertical="center" textRotation="90" wrapText="1"/>
    </xf>
    <xf numFmtId="165" fontId="62" fillId="0" borderId="32" xfId="0" applyNumberFormat="1" applyFont="1" applyBorder="1" applyAlignment="1" applyProtection="1">
      <alignment horizontal="right" vertical="center" wrapText="1"/>
    </xf>
    <xf numFmtId="165" fontId="62" fillId="0" borderId="33" xfId="0" applyNumberFormat="1" applyFont="1" applyBorder="1" applyAlignment="1" applyProtection="1">
      <alignment horizontal="right" vertical="center" wrapText="1"/>
    </xf>
    <xf numFmtId="165" fontId="62" fillId="0" borderId="34" xfId="0" applyNumberFormat="1" applyFont="1" applyBorder="1" applyAlignment="1" applyProtection="1">
      <alignment horizontal="right" vertical="center" wrapText="1"/>
    </xf>
    <xf numFmtId="0" fontId="61" fillId="0" borderId="32" xfId="0" applyFont="1" applyBorder="1" applyAlignment="1" applyProtection="1">
      <alignment horizontal="justify" vertical="center" wrapText="1"/>
    </xf>
    <xf numFmtId="0" fontId="61" fillId="0" borderId="34" xfId="0" applyFont="1" applyBorder="1" applyAlignment="1" applyProtection="1">
      <alignment horizontal="justify" vertical="center" wrapText="1"/>
    </xf>
    <xf numFmtId="0" fontId="64" fillId="0" borderId="22" xfId="0" applyFont="1" applyBorder="1" applyAlignment="1" applyProtection="1">
      <alignment horizontal="justify" vertical="center" wrapText="1"/>
    </xf>
    <xf numFmtId="0" fontId="64" fillId="0" borderId="0" xfId="0" applyFont="1" applyBorder="1" applyAlignment="1" applyProtection="1">
      <alignment horizontal="justify" vertical="center" wrapText="1"/>
    </xf>
    <xf numFmtId="0" fontId="59" fillId="0" borderId="32" xfId="0" applyFont="1" applyBorder="1" applyAlignment="1" applyProtection="1">
      <alignment horizontal="justify" vertical="center" wrapText="1"/>
    </xf>
    <xf numFmtId="0" fontId="59" fillId="0" borderId="33" xfId="0" applyFont="1" applyBorder="1" applyAlignment="1" applyProtection="1">
      <alignment horizontal="justify" vertical="center" wrapText="1"/>
    </xf>
    <xf numFmtId="0" fontId="59" fillId="0" borderId="34" xfId="0" applyFont="1" applyBorder="1" applyAlignment="1" applyProtection="1">
      <alignment horizontal="justify" vertical="center" wrapText="1"/>
    </xf>
    <xf numFmtId="0" fontId="61" fillId="0" borderId="37" xfId="0" applyFont="1" applyBorder="1" applyAlignment="1" applyProtection="1">
      <alignment horizontal="justify" vertical="center" wrapText="1"/>
    </xf>
    <xf numFmtId="0" fontId="61" fillId="0" borderId="38" xfId="0" applyFont="1" applyBorder="1" applyAlignment="1" applyProtection="1">
      <alignment horizontal="justify" vertical="center" wrapText="1"/>
    </xf>
    <xf numFmtId="0" fontId="61" fillId="0" borderId="39" xfId="0" applyFont="1" applyBorder="1" applyAlignment="1" applyProtection="1">
      <alignment horizontal="justify" vertical="center" wrapText="1"/>
    </xf>
  </cellXfs>
  <cellStyles count="7">
    <cellStyle name="40 % - Akzent3" xfId="2" builtinId="39"/>
    <cellStyle name="Hyperlink" xfId="1" builtinId="8"/>
    <cellStyle name="Komma" xfId="4" builtinId="3"/>
    <cellStyle name="Prozent" xfId="5" builtinId="5"/>
    <cellStyle name="Standard" xfId="0" builtinId="0"/>
    <cellStyle name="Überschrift 4" xfId="3" builtinId="19"/>
    <cellStyle name="Währung" xfId="6" builtinId="4"/>
  </cellStyles>
  <dxfs count="0"/>
  <tableStyles count="0" defaultTableStyle="TableStyleMedium2" defaultPivotStyle="PivotStyleLight16"/>
  <colors>
    <mruColors>
      <color rgb="FF99FF99"/>
      <color rgb="FF0000FF"/>
      <color rgb="FF006600"/>
      <color rgb="FFFFFF99"/>
      <color rgb="FFFF9966"/>
      <color rgb="FF000099"/>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73030510825786"/>
          <c:y val="5.1400554097404488E-2"/>
          <c:w val="0.87762644534298073"/>
          <c:h val="0.8326195683872849"/>
        </c:manualLayout>
      </c:layout>
      <c:barChart>
        <c:barDir val="col"/>
        <c:grouping val="clustered"/>
        <c:varyColors val="0"/>
        <c:ser>
          <c:idx val="1"/>
          <c:order val="0"/>
          <c:tx>
            <c:v>Investitionskosten</c:v>
          </c:tx>
          <c:spPr>
            <a:solidFill>
              <a:srgbClr val="0000FF"/>
            </a:solidFill>
          </c:spPr>
          <c:invertIfNegative val="0"/>
          <c:cat>
            <c:strRef>
              <c:f>'Hilfsrechnungen intern'!$B$8:$Q$8</c:f>
              <c:strCache>
                <c:ptCount val="16"/>
                <c:pt idx="0">
                  <c:v>t0</c:v>
                </c:pt>
                <c:pt idx="1">
                  <c:v>t1</c:v>
                </c:pt>
                <c:pt idx="2">
                  <c:v>t2</c:v>
                </c:pt>
                <c:pt idx="3">
                  <c:v>t3</c:v>
                </c:pt>
                <c:pt idx="4">
                  <c:v>t4</c:v>
                </c:pt>
                <c:pt idx="5">
                  <c:v>t5</c:v>
                </c:pt>
                <c:pt idx="6">
                  <c:v>t6</c:v>
                </c:pt>
                <c:pt idx="7">
                  <c:v>t7</c:v>
                </c:pt>
                <c:pt idx="8">
                  <c:v>t8</c:v>
                </c:pt>
                <c:pt idx="9">
                  <c:v>t9</c:v>
                </c:pt>
                <c:pt idx="10">
                  <c:v>t10</c:v>
                </c:pt>
                <c:pt idx="11">
                  <c:v>t11</c:v>
                </c:pt>
                <c:pt idx="12">
                  <c:v>t12</c:v>
                </c:pt>
                <c:pt idx="13">
                  <c:v>t13</c:v>
                </c:pt>
                <c:pt idx="14">
                  <c:v>t14</c:v>
                </c:pt>
                <c:pt idx="15">
                  <c:v>t15</c:v>
                </c:pt>
              </c:strCache>
            </c:strRef>
          </c:cat>
          <c:val>
            <c:numRef>
              <c:f>'Hilfsrechnungen intern'!$B$9:$Q$9</c:f>
              <c:numCache>
                <c:formatCode>_-* #,##0\ _€_-;\-* #,##0\ _€_-;_-* "-"??\ _€_-;_-@_-</c:formatCode>
                <c:ptCount val="16"/>
                <c:pt idx="0">
                  <c:v>150476825</c:v>
                </c:pt>
                <c:pt idx="1">
                  <c:v>6.6191255696682865E-3</c:v>
                </c:pt>
                <c:pt idx="2">
                  <c:v>0</c:v>
                </c:pt>
                <c:pt idx="3">
                  <c:v>0</c:v>
                </c:pt>
                <c:pt idx="4">
                  <c:v>1301000</c:v>
                </c:pt>
                <c:pt idx="5">
                  <c:v>0</c:v>
                </c:pt>
                <c:pt idx="6">
                  <c:v>2565025</c:v>
                </c:pt>
                <c:pt idx="7">
                  <c:v>1301000</c:v>
                </c:pt>
                <c:pt idx="8">
                  <c:v>0</c:v>
                </c:pt>
                <c:pt idx="9">
                  <c:v>0</c:v>
                </c:pt>
                <c:pt idx="10">
                  <c:v>78316300</c:v>
                </c:pt>
                <c:pt idx="11">
                  <c:v>2565025</c:v>
                </c:pt>
                <c:pt idx="12">
                  <c:v>0</c:v>
                </c:pt>
                <c:pt idx="13">
                  <c:v>1301000</c:v>
                </c:pt>
                <c:pt idx="14">
                  <c:v>0</c:v>
                </c:pt>
                <c:pt idx="15">
                  <c:v>0</c:v>
                </c:pt>
              </c:numCache>
            </c:numRef>
          </c:val>
        </c:ser>
        <c:ser>
          <c:idx val="2"/>
          <c:order val="1"/>
          <c:tx>
            <c:v>aktuelle Vertriebskosten</c:v>
          </c:tx>
          <c:spPr>
            <a:solidFill>
              <a:schemeClr val="accent2">
                <a:lumMod val="75000"/>
              </a:schemeClr>
            </a:solidFill>
            <a:effectLst/>
            <a:scene3d>
              <a:camera prst="orthographicFront"/>
              <a:lightRig rig="threePt" dir="t"/>
            </a:scene3d>
            <a:sp3d prstMaterial="matte"/>
          </c:spPr>
          <c:invertIfNegative val="0"/>
          <c:val>
            <c:numRef>
              <c:f>'Hilfsrechnungen intern'!$B$14:$Q$14</c:f>
              <c:numCache>
                <c:formatCode>_-* #,##0\ _€_-;\-* #,##0\ _€_-;_-* "-"??\ _€_-;_-@_-</c:formatCode>
                <c:ptCount val="16"/>
                <c:pt idx="1">
                  <c:v>108997561.30000001</c:v>
                </c:pt>
                <c:pt idx="2">
                  <c:v>108997561.30000001</c:v>
                </c:pt>
                <c:pt idx="3">
                  <c:v>108997561.30000001</c:v>
                </c:pt>
                <c:pt idx="4">
                  <c:v>108997561.30000001</c:v>
                </c:pt>
                <c:pt idx="5">
                  <c:v>108997561.30000001</c:v>
                </c:pt>
                <c:pt idx="6">
                  <c:v>108997561.30000001</c:v>
                </c:pt>
                <c:pt idx="7">
                  <c:v>108997561.30000001</c:v>
                </c:pt>
                <c:pt idx="8">
                  <c:v>108997561.30000001</c:v>
                </c:pt>
                <c:pt idx="9">
                  <c:v>108997561.30000001</c:v>
                </c:pt>
                <c:pt idx="10">
                  <c:v>108997561.30000001</c:v>
                </c:pt>
                <c:pt idx="11">
                  <c:v>108997561.30000001</c:v>
                </c:pt>
                <c:pt idx="12">
                  <c:v>108997561.30000001</c:v>
                </c:pt>
                <c:pt idx="13">
                  <c:v>108997561.30000001</c:v>
                </c:pt>
                <c:pt idx="14">
                  <c:v>108997561.30000001</c:v>
                </c:pt>
                <c:pt idx="15">
                  <c:v>108997561.30000001</c:v>
                </c:pt>
              </c:numCache>
            </c:numRef>
          </c:val>
        </c:ser>
        <c:ser>
          <c:idx val="0"/>
          <c:order val="2"/>
          <c:tx>
            <c:strRef>
              <c:f>'Hilfsrechnungen intern'!$A$10</c:f>
              <c:strCache>
                <c:ptCount val="1"/>
                <c:pt idx="0">
                  <c:v>EFM-3 Betriebskosten</c:v>
                </c:pt>
              </c:strCache>
            </c:strRef>
          </c:tx>
          <c:spPr>
            <a:solidFill>
              <a:srgbClr val="00B050"/>
            </a:solidFill>
          </c:spPr>
          <c:invertIfNegative val="0"/>
          <c:cat>
            <c:strRef>
              <c:f>'Hilfsrechnungen intern'!$B$8:$Q$8</c:f>
              <c:strCache>
                <c:ptCount val="16"/>
                <c:pt idx="0">
                  <c:v>t0</c:v>
                </c:pt>
                <c:pt idx="1">
                  <c:v>t1</c:v>
                </c:pt>
                <c:pt idx="2">
                  <c:v>t2</c:v>
                </c:pt>
                <c:pt idx="3">
                  <c:v>t3</c:v>
                </c:pt>
                <c:pt idx="4">
                  <c:v>t4</c:v>
                </c:pt>
                <c:pt idx="5">
                  <c:v>t5</c:v>
                </c:pt>
                <c:pt idx="6">
                  <c:v>t6</c:v>
                </c:pt>
                <c:pt idx="7">
                  <c:v>t7</c:v>
                </c:pt>
                <c:pt idx="8">
                  <c:v>t8</c:v>
                </c:pt>
                <c:pt idx="9">
                  <c:v>t9</c:v>
                </c:pt>
                <c:pt idx="10">
                  <c:v>t10</c:v>
                </c:pt>
                <c:pt idx="11">
                  <c:v>t11</c:v>
                </c:pt>
                <c:pt idx="12">
                  <c:v>t12</c:v>
                </c:pt>
                <c:pt idx="13">
                  <c:v>t13</c:v>
                </c:pt>
                <c:pt idx="14">
                  <c:v>t14</c:v>
                </c:pt>
                <c:pt idx="15">
                  <c:v>t15</c:v>
                </c:pt>
              </c:strCache>
            </c:strRef>
          </c:cat>
          <c:val>
            <c:numRef>
              <c:f>'Hilfsrechnungen intern'!$B$10:$Q$10</c:f>
              <c:numCache>
                <c:formatCode>_-* #,##0\ _€_-;\-* #,##0\ _€_-;_-* "-"??\ _€_-;_-@_-</c:formatCode>
                <c:ptCount val="16"/>
                <c:pt idx="1">
                  <c:v>59973717.282837838</c:v>
                </c:pt>
                <c:pt idx="2">
                  <c:v>59973717.282837838</c:v>
                </c:pt>
                <c:pt idx="3">
                  <c:v>59973717.282837838</c:v>
                </c:pt>
                <c:pt idx="4">
                  <c:v>59973717.282837838</c:v>
                </c:pt>
                <c:pt idx="5">
                  <c:v>59973717.282837838</c:v>
                </c:pt>
                <c:pt idx="6">
                  <c:v>59973717.282837838</c:v>
                </c:pt>
                <c:pt idx="7">
                  <c:v>59973717.282837838</c:v>
                </c:pt>
                <c:pt idx="8">
                  <c:v>59973717.282837838</c:v>
                </c:pt>
                <c:pt idx="9">
                  <c:v>59973717.282837838</c:v>
                </c:pt>
                <c:pt idx="10">
                  <c:v>59973717.282837838</c:v>
                </c:pt>
                <c:pt idx="11">
                  <c:v>59973717.282837838</c:v>
                </c:pt>
                <c:pt idx="12">
                  <c:v>59973717.282837838</c:v>
                </c:pt>
                <c:pt idx="13">
                  <c:v>59973717.282837838</c:v>
                </c:pt>
                <c:pt idx="14">
                  <c:v>59973717.282837838</c:v>
                </c:pt>
                <c:pt idx="15">
                  <c:v>59973717.282837838</c:v>
                </c:pt>
              </c:numCache>
            </c:numRef>
          </c:val>
        </c:ser>
        <c:ser>
          <c:idx val="3"/>
          <c:order val="3"/>
          <c:tx>
            <c:strRef>
              <c:f>'Hilfsrechnungen intern'!$A$11</c:f>
              <c:strCache>
                <c:ptCount val="1"/>
                <c:pt idx="0">
                  <c:v>Betr.-Ko. incl. Finanzierung</c:v>
                </c:pt>
              </c:strCache>
            </c:strRef>
          </c:tx>
          <c:invertIfNegative val="0"/>
          <c:val>
            <c:numRef>
              <c:f>'Hilfsrechnungen intern'!$B$11:$Q$11</c:f>
              <c:numCache>
                <c:formatCode>_-* #,##0\ _€_-;\-* #,##0\ _€_-;_-* "-"??\ _€_-;_-@_-</c:formatCode>
                <c:ptCount val="16"/>
                <c:pt idx="1">
                  <c:v>70359990.353547841</c:v>
                </c:pt>
                <c:pt idx="2">
                  <c:v>70044274.696360379</c:v>
                </c:pt>
                <c:pt idx="3">
                  <c:v>69719087.569457293</c:v>
                </c:pt>
                <c:pt idx="4">
                  <c:v>69423174.828747123</c:v>
                </c:pt>
                <c:pt idx="5">
                  <c:v>69078183.805815637</c:v>
                </c:pt>
                <c:pt idx="6">
                  <c:v>68799793.802196205</c:v>
                </c:pt>
                <c:pt idx="7">
                  <c:v>68472822.825968191</c:v>
                </c:pt>
                <c:pt idx="8">
                  <c:v>68095841.820453346</c:v>
                </c:pt>
                <c:pt idx="9">
                  <c:v>67707551.384773046</c:v>
                </c:pt>
                <c:pt idx="10">
                  <c:v>69657101.236022353</c:v>
                </c:pt>
                <c:pt idx="11">
                  <c:v>69322114.662809119</c:v>
                </c:pt>
                <c:pt idx="12">
                  <c:v>68897819.219899505</c:v>
                </c:pt>
                <c:pt idx="13">
                  <c:v>68499824.913702592</c:v>
                </c:pt>
                <c:pt idx="14">
                  <c:v>68049689.87831977</c:v>
                </c:pt>
                <c:pt idx="15">
                  <c:v>67586050.791875467</c:v>
                </c:pt>
              </c:numCache>
            </c:numRef>
          </c:val>
        </c:ser>
        <c:ser>
          <c:idx val="4"/>
          <c:order val="4"/>
          <c:tx>
            <c:strRef>
              <c:f>'Hilfsrechnungen intern'!$A$12</c:f>
              <c:strCache>
                <c:ptCount val="1"/>
                <c:pt idx="0">
                  <c:v>Betr.-Ko. incl. Wiederbeschaffung</c:v>
                </c:pt>
              </c:strCache>
            </c:strRef>
          </c:tx>
          <c:invertIfNegative val="0"/>
          <c:val>
            <c:numRef>
              <c:f>'Hilfsrechnungen intern'!$B$12:$Q$12</c:f>
              <c:numCache>
                <c:formatCode>_-* #,##0\ _€_-;\-* #,##0\ _€_-;_-* "-"??\ _€_-;_-@_-</c:formatCode>
                <c:ptCount val="16"/>
                <c:pt idx="1">
                  <c:v>84266173.131325617</c:v>
                </c:pt>
                <c:pt idx="2">
                  <c:v>83950457.474138156</c:v>
                </c:pt>
                <c:pt idx="3">
                  <c:v>83625270.347235069</c:v>
                </c:pt>
                <c:pt idx="4">
                  <c:v>83329357.606524885</c:v>
                </c:pt>
                <c:pt idx="5">
                  <c:v>82984366.583593413</c:v>
                </c:pt>
                <c:pt idx="6">
                  <c:v>82705976.579973981</c:v>
                </c:pt>
                <c:pt idx="7">
                  <c:v>82379005.603745967</c:v>
                </c:pt>
                <c:pt idx="8">
                  <c:v>82002024.598231122</c:v>
                </c:pt>
                <c:pt idx="9">
                  <c:v>81613734.162550822</c:v>
                </c:pt>
                <c:pt idx="10">
                  <c:v>83563284.013800129</c:v>
                </c:pt>
                <c:pt idx="11">
                  <c:v>83228297.440586895</c:v>
                </c:pt>
                <c:pt idx="12">
                  <c:v>82804001.997677281</c:v>
                </c:pt>
                <c:pt idx="13">
                  <c:v>82406007.691480368</c:v>
                </c:pt>
                <c:pt idx="14">
                  <c:v>81955872.656097546</c:v>
                </c:pt>
                <c:pt idx="15">
                  <c:v>81492233.569653243</c:v>
                </c:pt>
              </c:numCache>
            </c:numRef>
          </c:val>
        </c:ser>
        <c:dLbls>
          <c:showLegendKey val="0"/>
          <c:showVal val="0"/>
          <c:showCatName val="0"/>
          <c:showSerName val="0"/>
          <c:showPercent val="0"/>
          <c:showBubbleSize val="0"/>
        </c:dLbls>
        <c:gapWidth val="276"/>
        <c:overlap val="-30"/>
        <c:axId val="129568768"/>
        <c:axId val="129570304"/>
      </c:barChart>
      <c:catAx>
        <c:axId val="129568768"/>
        <c:scaling>
          <c:orientation val="minMax"/>
        </c:scaling>
        <c:delete val="0"/>
        <c:axPos val="b"/>
        <c:majorTickMark val="out"/>
        <c:minorTickMark val="none"/>
        <c:tickLblPos val="nextTo"/>
        <c:crossAx val="129570304"/>
        <c:crosses val="autoZero"/>
        <c:auto val="1"/>
        <c:lblAlgn val="ctr"/>
        <c:lblOffset val="100"/>
        <c:noMultiLvlLbl val="0"/>
      </c:catAx>
      <c:valAx>
        <c:axId val="129570304"/>
        <c:scaling>
          <c:orientation val="minMax"/>
          <c:max val="200000000"/>
          <c:min val="0"/>
        </c:scaling>
        <c:delete val="0"/>
        <c:axPos val="l"/>
        <c:majorGridlines/>
        <c:numFmt formatCode="_-* #,##0\ _€_-;\-* #,##0\ _€_-;_-* &quot;-&quot;??\ _€_-;_-@_-" sourceLinked="1"/>
        <c:majorTickMark val="out"/>
        <c:minorTickMark val="none"/>
        <c:tickLblPos val="nextTo"/>
        <c:crossAx val="129568768"/>
        <c:crosses val="autoZero"/>
        <c:crossBetween val="between"/>
        <c:majorUnit val="20000000"/>
        <c:dispUnits>
          <c:builtInUnit val="millions"/>
          <c:dispUnitsLbl>
            <c:layout>
              <c:manualLayout>
                <c:xMode val="edge"/>
                <c:yMode val="edge"/>
                <c:x val="0"/>
                <c:y val="3.6904903672494452E-2"/>
              </c:manualLayout>
            </c:layout>
            <c:tx>
              <c:rich>
                <a:bodyPr/>
                <a:lstStyle/>
                <a:p>
                  <a:pPr>
                    <a:defRPr sz="1600"/>
                  </a:pPr>
                  <a:r>
                    <a:rPr lang="de-DE" sz="1600"/>
                    <a:t>Millionen</a:t>
                  </a:r>
                </a:p>
              </c:rich>
            </c:tx>
          </c:dispUnitsLbl>
        </c:dispUnits>
      </c:valAx>
    </c:plotArea>
    <c:legend>
      <c:legendPos val="r"/>
      <c:layout>
        <c:manualLayout>
          <c:xMode val="edge"/>
          <c:yMode val="edge"/>
          <c:x val="0.6693968638744604"/>
          <c:y val="3.4971027683979583E-2"/>
          <c:w val="0.31344173090906885"/>
          <c:h val="0.32775791478034288"/>
        </c:manualLayout>
      </c:layout>
      <c:overlay val="0"/>
      <c:spPr>
        <a:solidFill>
          <a:schemeClr val="bg1"/>
        </a:solidFill>
        <a:ln>
          <a:solidFill>
            <a:srgbClr val="0070C0"/>
          </a:solidFill>
        </a:ln>
      </c:spPr>
      <c:txPr>
        <a:bodyPr/>
        <a:lstStyle/>
        <a:p>
          <a:pPr>
            <a:defRPr sz="1500" baseline="0"/>
          </a:pPr>
          <a:endParaRPr lang="de-DE"/>
        </a:p>
      </c:txPr>
    </c:legend>
    <c:plotVisOnly val="1"/>
    <c:dispBlanksAs val="gap"/>
    <c:showDLblsOverMax val="0"/>
  </c:chart>
  <c:txPr>
    <a:bodyPr/>
    <a:lstStyle/>
    <a:p>
      <a:pPr>
        <a:defRPr sz="16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Kapitalwert und Break-Even</a:t>
            </a:r>
          </a:p>
        </c:rich>
      </c:tx>
      <c:layout>
        <c:manualLayout>
          <c:xMode val="edge"/>
          <c:yMode val="edge"/>
          <c:x val="0.43759774549356723"/>
          <c:y val="0"/>
        </c:manualLayout>
      </c:layout>
      <c:overlay val="0"/>
    </c:title>
    <c:autoTitleDeleted val="0"/>
    <c:plotArea>
      <c:layout>
        <c:manualLayout>
          <c:layoutTarget val="inner"/>
          <c:xMode val="edge"/>
          <c:yMode val="edge"/>
          <c:x val="9.8657284662439504E-2"/>
          <c:y val="6.2357883383185216E-2"/>
          <c:w val="0.87762644534298073"/>
          <c:h val="0.8326195683872849"/>
        </c:manualLayout>
      </c:layout>
      <c:lineChart>
        <c:grouping val="standard"/>
        <c:varyColors val="0"/>
        <c:ser>
          <c:idx val="0"/>
          <c:order val="0"/>
          <c:tx>
            <c:strRef>
              <c:f>'Hilfsrechnungen intern'!$A$15</c:f>
              <c:strCache>
                <c:ptCount val="1"/>
                <c:pt idx="0">
                  <c:v>Summation 
Kosten - Einsparungen</c:v>
                </c:pt>
              </c:strCache>
            </c:strRef>
          </c:tx>
          <c:spPr>
            <a:ln w="57150">
              <a:solidFill>
                <a:srgbClr val="00B050"/>
              </a:solidFill>
            </a:ln>
          </c:spPr>
          <c:marker>
            <c:symbol val="none"/>
          </c:marker>
          <c:cat>
            <c:strRef>
              <c:f>'Hilfsrechnungen intern'!$B$8:$Q$8</c:f>
              <c:strCache>
                <c:ptCount val="16"/>
                <c:pt idx="0">
                  <c:v>t0</c:v>
                </c:pt>
                <c:pt idx="1">
                  <c:v>t1</c:v>
                </c:pt>
                <c:pt idx="2">
                  <c:v>t2</c:v>
                </c:pt>
                <c:pt idx="3">
                  <c:v>t3</c:v>
                </c:pt>
                <c:pt idx="4">
                  <c:v>t4</c:v>
                </c:pt>
                <c:pt idx="5">
                  <c:v>t5</c:v>
                </c:pt>
                <c:pt idx="6">
                  <c:v>t6</c:v>
                </c:pt>
                <c:pt idx="7">
                  <c:v>t7</c:v>
                </c:pt>
                <c:pt idx="8">
                  <c:v>t8</c:v>
                </c:pt>
                <c:pt idx="9">
                  <c:v>t9</c:v>
                </c:pt>
                <c:pt idx="10">
                  <c:v>t10</c:v>
                </c:pt>
                <c:pt idx="11">
                  <c:v>t11</c:v>
                </c:pt>
                <c:pt idx="12">
                  <c:v>t12</c:v>
                </c:pt>
                <c:pt idx="13">
                  <c:v>t13</c:v>
                </c:pt>
                <c:pt idx="14">
                  <c:v>t14</c:v>
                </c:pt>
                <c:pt idx="15">
                  <c:v>t15</c:v>
                </c:pt>
              </c:strCache>
            </c:strRef>
          </c:cat>
          <c:val>
            <c:numRef>
              <c:f>'Hilfsrechnungen intern'!$B$15:$Q$15</c:f>
              <c:numCache>
                <c:formatCode>_-* #,##0\ _€_-;\-* #,##0\ _€_-;_-* "-"??\ _€_-;_-@_-</c:formatCode>
                <c:ptCount val="16"/>
                <c:pt idx="0">
                  <c:v>-150476825</c:v>
                </c:pt>
                <c:pt idx="1">
                  <c:v>-101452980.98945695</c:v>
                </c:pt>
                <c:pt idx="2">
                  <c:v>-52429136.972294778</c:v>
                </c:pt>
                <c:pt idx="3">
                  <c:v>-3405292.9551326036</c:v>
                </c:pt>
                <c:pt idx="4">
                  <c:v>44317551.06202957</c:v>
                </c:pt>
                <c:pt idx="5">
                  <c:v>93341395.079191744</c:v>
                </c:pt>
                <c:pt idx="6">
                  <c:v>139800214.09635392</c:v>
                </c:pt>
                <c:pt idx="7">
                  <c:v>187523058.11351609</c:v>
                </c:pt>
                <c:pt idx="8">
                  <c:v>236546902.13067827</c:v>
                </c:pt>
                <c:pt idx="9">
                  <c:v>285570746.14784044</c:v>
                </c:pt>
                <c:pt idx="10">
                  <c:v>256278290.16500261</c:v>
                </c:pt>
                <c:pt idx="11">
                  <c:v>302737109.18216479</c:v>
                </c:pt>
                <c:pt idx="12">
                  <c:v>351760953.19932699</c:v>
                </c:pt>
                <c:pt idx="13">
                  <c:v>399483797.2164892</c:v>
                </c:pt>
                <c:pt idx="14">
                  <c:v>448507641.2336514</c:v>
                </c:pt>
                <c:pt idx="15">
                  <c:v>497531485.2508136</c:v>
                </c:pt>
              </c:numCache>
            </c:numRef>
          </c:val>
          <c:smooth val="0"/>
        </c:ser>
        <c:ser>
          <c:idx val="1"/>
          <c:order val="1"/>
          <c:tx>
            <c:strRef>
              <c:f>'Hilfsrechnungen intern'!$A$16</c:f>
              <c:strCache>
                <c:ptCount val="1"/>
                <c:pt idx="0">
                  <c:v>Kapitalwert</c:v>
                </c:pt>
              </c:strCache>
            </c:strRef>
          </c:tx>
          <c:spPr>
            <a:ln w="50800">
              <a:solidFill>
                <a:srgbClr val="0000FF"/>
              </a:solidFill>
            </a:ln>
          </c:spPr>
          <c:marker>
            <c:symbol val="none"/>
          </c:marker>
          <c:val>
            <c:numRef>
              <c:f>'Hilfsrechnungen intern'!$B$16:$Q$16</c:f>
              <c:numCache>
                <c:formatCode>_-* #,##0\ _€_-;\-* #,##0\ _€_-;_-* "-"??\ _€_-;_-@_-</c:formatCode>
                <c:ptCount val="16"/>
                <c:pt idx="0">
                  <c:v>-42338159.482000001</c:v>
                </c:pt>
                <c:pt idx="1">
                  <c:v>-14605135.789980063</c:v>
                </c:pt>
                <c:pt idx="2">
                  <c:v>11122896.652588075</c:v>
                </c:pt>
                <c:pt idx="3">
                  <c:v>36101568.926926069</c:v>
                </c:pt>
                <c:pt idx="4">
                  <c:v>60319039.436496794</c:v>
                </c:pt>
                <c:pt idx="5">
                  <c:v>83831146.727342159</c:v>
                </c:pt>
                <c:pt idx="6">
                  <c:v>106595867.35761437</c:v>
                </c:pt>
                <c:pt idx="7">
                  <c:v>128666727.23002647</c:v>
                </c:pt>
                <c:pt idx="8">
                  <c:v>150094746.52363047</c:v>
                </c:pt>
                <c:pt idx="9">
                  <c:v>170898648.75043046</c:v>
                </c:pt>
                <c:pt idx="10">
                  <c:v>189399291.23468599</c:v>
                </c:pt>
                <c:pt idx="11">
                  <c:v>207307108.3465358</c:v>
                </c:pt>
                <c:pt idx="12">
                  <c:v>224693338.55221519</c:v>
                </c:pt>
                <c:pt idx="13">
                  <c:v>241547370.27539918</c:v>
                </c:pt>
                <c:pt idx="14">
                  <c:v>257910507.8707234</c:v>
                </c:pt>
                <c:pt idx="15">
                  <c:v>273797049.22540712</c:v>
                </c:pt>
              </c:numCache>
            </c:numRef>
          </c:val>
          <c:smooth val="0"/>
        </c:ser>
        <c:dLbls>
          <c:showLegendKey val="0"/>
          <c:showVal val="0"/>
          <c:showCatName val="0"/>
          <c:showSerName val="0"/>
          <c:showPercent val="0"/>
          <c:showBubbleSize val="0"/>
        </c:dLbls>
        <c:marker val="1"/>
        <c:smooth val="0"/>
        <c:axId val="129595648"/>
        <c:axId val="129626112"/>
      </c:lineChart>
      <c:catAx>
        <c:axId val="129595648"/>
        <c:scaling>
          <c:orientation val="minMax"/>
        </c:scaling>
        <c:delete val="0"/>
        <c:axPos val="b"/>
        <c:majorTickMark val="out"/>
        <c:minorTickMark val="none"/>
        <c:tickLblPos val="nextTo"/>
        <c:txPr>
          <a:bodyPr/>
          <a:lstStyle/>
          <a:p>
            <a:pPr>
              <a:defRPr sz="1600" baseline="0">
                <a:latin typeface="Arial" panose="020B0604020202020204" pitchFamily="34" charset="0"/>
              </a:defRPr>
            </a:pPr>
            <a:endParaRPr lang="de-DE"/>
          </a:p>
        </c:txPr>
        <c:crossAx val="129626112"/>
        <c:crosses val="autoZero"/>
        <c:auto val="1"/>
        <c:lblAlgn val="ctr"/>
        <c:lblOffset val="100"/>
        <c:noMultiLvlLbl val="0"/>
      </c:catAx>
      <c:valAx>
        <c:axId val="129626112"/>
        <c:scaling>
          <c:orientation val="minMax"/>
          <c:max val="360000000"/>
          <c:min val="-180000000"/>
        </c:scaling>
        <c:delete val="0"/>
        <c:axPos val="l"/>
        <c:majorGridlines/>
        <c:numFmt formatCode="_-* #,##0\ _€_-;\-* #,##0\ _€_-;_-* &quot;-&quot;??\ _€_-;_-@_-" sourceLinked="1"/>
        <c:majorTickMark val="out"/>
        <c:minorTickMark val="none"/>
        <c:tickLblPos val="nextTo"/>
        <c:txPr>
          <a:bodyPr/>
          <a:lstStyle/>
          <a:p>
            <a:pPr>
              <a:defRPr sz="1600" baseline="0">
                <a:latin typeface="Arial" panose="020B0604020202020204" pitchFamily="34" charset="0"/>
              </a:defRPr>
            </a:pPr>
            <a:endParaRPr lang="de-DE"/>
          </a:p>
        </c:txPr>
        <c:crossAx val="129595648"/>
        <c:crosses val="autoZero"/>
        <c:crossBetween val="between"/>
        <c:majorUnit val="40000000"/>
        <c:dispUnits>
          <c:builtInUnit val="millions"/>
          <c:dispUnitsLbl>
            <c:layout>
              <c:manualLayout>
                <c:xMode val="edge"/>
                <c:yMode val="edge"/>
                <c:x val="0"/>
                <c:y val="3.9062616376331676E-2"/>
              </c:manualLayout>
            </c:layout>
            <c:tx>
              <c:rich>
                <a:bodyPr/>
                <a:lstStyle/>
                <a:p>
                  <a:pPr>
                    <a:defRPr sz="1200" baseline="0">
                      <a:latin typeface="Calibri" panose="020F0502020204030204" pitchFamily="34" charset="0"/>
                    </a:defRPr>
                  </a:pPr>
                  <a:r>
                    <a:rPr lang="de-DE" sz="1600">
                      <a:latin typeface="Arial" panose="020B0604020202020204" pitchFamily="34" charset="0"/>
                      <a:cs typeface="Arial" panose="020B0604020202020204" pitchFamily="34" charset="0"/>
                    </a:rPr>
                    <a:t>Millionen</a:t>
                  </a:r>
                </a:p>
              </c:rich>
            </c:tx>
          </c:dispUnitsLbl>
        </c:dispUnits>
      </c:valAx>
    </c:plotArea>
    <c:legend>
      <c:legendPos val="r"/>
      <c:layout>
        <c:manualLayout>
          <c:xMode val="edge"/>
          <c:yMode val="edge"/>
          <c:x val="0.70188035249792069"/>
          <c:y val="0.69804471955277381"/>
          <c:w val="0.27592015189293739"/>
          <c:h val="0.13845100665459678"/>
        </c:manualLayout>
      </c:layout>
      <c:overlay val="0"/>
      <c:spPr>
        <a:solidFill>
          <a:schemeClr val="bg1"/>
        </a:solidFill>
        <a:ln>
          <a:solidFill>
            <a:schemeClr val="accent1"/>
          </a:solidFill>
        </a:ln>
      </c:spPr>
      <c:txPr>
        <a:bodyPr/>
        <a:lstStyle/>
        <a:p>
          <a:pPr>
            <a:defRPr sz="1500" b="0" baseline="0">
              <a:latin typeface="Arial" panose="020B0604020202020204" pitchFamily="34" charset="0"/>
              <a:cs typeface="Arial" panose="020B0604020202020204" pitchFamily="34" charset="0"/>
            </a:defRPr>
          </a:pPr>
          <a:endParaRPr lang="de-DE"/>
        </a:p>
      </c:txPr>
    </c:legend>
    <c:plotVisOnly val="1"/>
    <c:dispBlanksAs val="gap"/>
    <c:showDLblsOverMax val="0"/>
  </c:chart>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latin typeface="Arial" panose="020B0604020202020204" pitchFamily="34" charset="0"/>
                <a:cs typeface="Arial" panose="020B0604020202020204" pitchFamily="34" charset="0"/>
              </a:defRPr>
            </a:pPr>
            <a:r>
              <a:rPr lang="en-US" sz="2000">
                <a:latin typeface="Arial" panose="020B0604020202020204" pitchFamily="34" charset="0"/>
                <a:cs typeface="Arial" panose="020B0604020202020204" pitchFamily="34" charset="0"/>
              </a:rPr>
              <a:t>Darlehensstände</a:t>
            </a:r>
          </a:p>
        </c:rich>
      </c:tx>
      <c:overlay val="0"/>
    </c:title>
    <c:autoTitleDeleted val="0"/>
    <c:plotArea>
      <c:layout/>
      <c:lineChart>
        <c:grouping val="standard"/>
        <c:varyColors val="0"/>
        <c:ser>
          <c:idx val="0"/>
          <c:order val="0"/>
          <c:tx>
            <c:v>FK</c:v>
          </c:tx>
          <c:spPr>
            <a:ln w="57150"/>
          </c:spPr>
          <c:marker>
            <c:symbol val="none"/>
          </c:marker>
          <c:cat>
            <c:numLit>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Lit>
          </c:cat>
          <c:val>
            <c:numRef>
              <c:f>Finanzierung!$G$41:$W$41</c:f>
              <c:numCache>
                <c:formatCode>#,##0</c:formatCode>
                <c:ptCount val="17"/>
                <c:pt idx="0">
                  <c:v>60190730</c:v>
                </c:pt>
                <c:pt idx="1">
                  <c:v>122187181.90000001</c:v>
                </c:pt>
                <c:pt idx="2">
                  <c:v>115328942.11741799</c:v>
                </c:pt>
                <c:pt idx="3">
                  <c:v>104489371.22064851</c:v>
                </c:pt>
                <c:pt idx="4">
                  <c:v>93324613.196975946</c:v>
                </c:pt>
                <c:pt idx="5">
                  <c:v>82865712.432593212</c:v>
                </c:pt>
                <c:pt idx="6">
                  <c:v>71021020.64527899</c:v>
                </c:pt>
                <c:pt idx="7">
                  <c:v>60873008.104345344</c:v>
                </c:pt>
                <c:pt idx="8">
                  <c:v>49347774.587183684</c:v>
                </c:pt>
                <c:pt idx="9">
                  <c:v>36404760.064507179</c:v>
                </c:pt>
                <c:pt idx="10">
                  <c:v>23073455.106150378</c:v>
                </c:pt>
                <c:pt idx="11">
                  <c:v>71995250.999042869</c:v>
                </c:pt>
                <c:pt idx="12">
                  <c:v>59904089.568722136</c:v>
                </c:pt>
                <c:pt idx="13">
                  <c:v>45336612.695491783</c:v>
                </c:pt>
                <c:pt idx="14">
                  <c:v>31372911.516064517</c:v>
                </c:pt>
                <c:pt idx="15">
                  <c:v>15918275.301254435</c:v>
                </c:pt>
                <c:pt idx="16">
                  <c:v>5.029141902923584E-8</c:v>
                </c:pt>
              </c:numCache>
            </c:numRef>
          </c:val>
          <c:smooth val="0"/>
        </c:ser>
        <c:ser>
          <c:idx val="1"/>
          <c:order val="1"/>
          <c:tx>
            <c:v>EK</c:v>
          </c:tx>
          <c:spPr>
            <a:ln w="57150"/>
          </c:spPr>
          <c:marker>
            <c:symbol val="none"/>
          </c:marker>
          <c:cat>
            <c:numLit>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Lit>
          </c:cat>
          <c:val>
            <c:numRef>
              <c:f>Finanzierung!$G$54:$W$54</c:f>
              <c:numCache>
                <c:formatCode>#,##0</c:formatCode>
                <c:ptCount val="17"/>
                <c:pt idx="0">
                  <c:v>15047682.5</c:v>
                </c:pt>
                <c:pt idx="1">
                  <c:v>30095365</c:v>
                </c:pt>
                <c:pt idx="2">
                  <c:v>30095365</c:v>
                </c:pt>
                <c:pt idx="3">
                  <c:v>30095365</c:v>
                </c:pt>
                <c:pt idx="4">
                  <c:v>30095365</c:v>
                </c:pt>
                <c:pt idx="5">
                  <c:v>30355565</c:v>
                </c:pt>
                <c:pt idx="6">
                  <c:v>30355565</c:v>
                </c:pt>
                <c:pt idx="7">
                  <c:v>30868570</c:v>
                </c:pt>
                <c:pt idx="8">
                  <c:v>31128770</c:v>
                </c:pt>
                <c:pt idx="9">
                  <c:v>31128770</c:v>
                </c:pt>
                <c:pt idx="10">
                  <c:v>31128770</c:v>
                </c:pt>
                <c:pt idx="11">
                  <c:v>46792030</c:v>
                </c:pt>
                <c:pt idx="12">
                  <c:v>47305035</c:v>
                </c:pt>
                <c:pt idx="13">
                  <c:v>47305035</c:v>
                </c:pt>
                <c:pt idx="14">
                  <c:v>47565235</c:v>
                </c:pt>
                <c:pt idx="15">
                  <c:v>47565235</c:v>
                </c:pt>
                <c:pt idx="16">
                  <c:v>47565235</c:v>
                </c:pt>
              </c:numCache>
            </c:numRef>
          </c:val>
          <c:smooth val="0"/>
        </c:ser>
        <c:dLbls>
          <c:showLegendKey val="0"/>
          <c:showVal val="0"/>
          <c:showCatName val="0"/>
          <c:showSerName val="0"/>
          <c:showPercent val="0"/>
          <c:showBubbleSize val="0"/>
        </c:dLbls>
        <c:marker val="1"/>
        <c:smooth val="0"/>
        <c:axId val="137470336"/>
        <c:axId val="137471872"/>
      </c:lineChart>
      <c:catAx>
        <c:axId val="137470336"/>
        <c:scaling>
          <c:orientation val="minMax"/>
        </c:scaling>
        <c:delete val="0"/>
        <c:axPos val="b"/>
        <c:numFmt formatCode="General" sourceLinked="1"/>
        <c:majorTickMark val="out"/>
        <c:minorTickMark val="none"/>
        <c:tickLblPos val="nextTo"/>
        <c:txPr>
          <a:bodyPr/>
          <a:lstStyle/>
          <a:p>
            <a:pPr>
              <a:defRPr sz="1600">
                <a:latin typeface="Arial" panose="020B0604020202020204" pitchFamily="34" charset="0"/>
                <a:cs typeface="Arial" panose="020B0604020202020204" pitchFamily="34" charset="0"/>
              </a:defRPr>
            </a:pPr>
            <a:endParaRPr lang="de-DE"/>
          </a:p>
        </c:txPr>
        <c:crossAx val="137471872"/>
        <c:crosses val="autoZero"/>
        <c:auto val="1"/>
        <c:lblAlgn val="ctr"/>
        <c:lblOffset val="100"/>
        <c:noMultiLvlLbl val="0"/>
      </c:catAx>
      <c:valAx>
        <c:axId val="137471872"/>
        <c:scaling>
          <c:orientation val="minMax"/>
        </c:scaling>
        <c:delete val="0"/>
        <c:axPos val="l"/>
        <c:majorGridlines/>
        <c:numFmt formatCode="#,##0" sourceLinked="1"/>
        <c:majorTickMark val="out"/>
        <c:minorTickMark val="none"/>
        <c:tickLblPos val="nextTo"/>
        <c:txPr>
          <a:bodyPr/>
          <a:lstStyle/>
          <a:p>
            <a:pPr>
              <a:defRPr sz="1600">
                <a:latin typeface="Arial" panose="020B0604020202020204" pitchFamily="34" charset="0"/>
                <a:cs typeface="Arial" panose="020B0604020202020204" pitchFamily="34" charset="0"/>
              </a:defRPr>
            </a:pPr>
            <a:endParaRPr lang="de-DE"/>
          </a:p>
        </c:txPr>
        <c:crossAx val="137470336"/>
        <c:crosses val="autoZero"/>
        <c:crossBetween val="between"/>
        <c:dispUnits>
          <c:builtInUnit val="millions"/>
          <c:dispUnitsLbl>
            <c:txPr>
              <a:bodyPr/>
              <a:lstStyle/>
              <a:p>
                <a:pPr>
                  <a:defRPr sz="1600">
                    <a:latin typeface="Arial" panose="020B0604020202020204" pitchFamily="34" charset="0"/>
                    <a:cs typeface="Arial" panose="020B0604020202020204" pitchFamily="34" charset="0"/>
                  </a:defRPr>
                </a:pPr>
                <a:endParaRPr lang="de-DE"/>
              </a:p>
            </c:txPr>
          </c:dispUnitsLbl>
        </c:dispUnits>
      </c:valAx>
    </c:plotArea>
    <c:legend>
      <c:legendPos val="b"/>
      <c:overlay val="0"/>
      <c:txPr>
        <a:bodyPr/>
        <a:lstStyle/>
        <a:p>
          <a:pPr>
            <a:defRPr sz="1600">
              <a:latin typeface="Arial" panose="020B0604020202020204" pitchFamily="34" charset="0"/>
              <a:cs typeface="Arial" panose="020B0604020202020204" pitchFamily="34" charset="0"/>
            </a:defRPr>
          </a:pPr>
          <a:endParaRPr lang="de-DE"/>
        </a:p>
      </c:txPr>
    </c:legend>
    <c:plotVisOnly val="1"/>
    <c:dispBlanksAs val="gap"/>
    <c:showDLblsOverMax val="0"/>
  </c:chart>
  <c:printSettings>
    <c:headerFooter/>
    <c:pageMargins b="0.78740157499999996" l="0.7" r="0.7" t="0.78740157499999996" header="0.3" footer="0.3"/>
    <c:pageSetup orientation="portrait"/>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5</xdr:row>
      <xdr:rowOff>9524</xdr:rowOff>
    </xdr:from>
    <xdr:to>
      <xdr:col>9</xdr:col>
      <xdr:colOff>571499</xdr:colOff>
      <xdr:row>45</xdr:row>
      <xdr:rowOff>66676</xdr:rowOff>
    </xdr:to>
    <xdr:sp macro="" textlink="">
      <xdr:nvSpPr>
        <xdr:cNvPr id="2" name="Textfeld 1"/>
        <xdr:cNvSpPr txBox="1"/>
      </xdr:nvSpPr>
      <xdr:spPr>
        <a:xfrm>
          <a:off x="781050" y="962024"/>
          <a:ext cx="6648449" cy="7677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600" b="1">
              <a:solidFill>
                <a:schemeClr val="dk1"/>
              </a:solidFill>
              <a:effectLst/>
              <a:latin typeface="Arial" panose="020B0604020202020204" pitchFamily="34" charset="0"/>
              <a:ea typeface="+mn-ea"/>
              <a:cs typeface="Arial" panose="020B0604020202020204" pitchFamily="34" charset="0"/>
            </a:rPr>
            <a:t>Machbarkeitsstudie </a:t>
          </a:r>
        </a:p>
        <a:p>
          <a:pPr algn="ctr"/>
          <a:r>
            <a:rPr lang="de-DE" sz="1600" b="1">
              <a:solidFill>
                <a:schemeClr val="dk1"/>
              </a:solidFill>
              <a:effectLst/>
              <a:latin typeface="Arial" panose="020B0604020202020204" pitchFamily="34" charset="0"/>
              <a:ea typeface="+mn-ea"/>
              <a:cs typeface="Arial" panose="020B0604020202020204" pitchFamily="34" charset="0"/>
            </a:rPr>
            <a:t>'Aufbau, Einführung und Betrieb eines Check-In-Check-Out-Systems im Verkehrsverbund Rhein-Ruhr'</a:t>
          </a:r>
        </a:p>
        <a:p>
          <a:pPr algn="ctr"/>
          <a:r>
            <a:rPr lang="de-DE" sz="1100">
              <a:solidFill>
                <a:schemeClr val="dk1"/>
              </a:solidFill>
              <a:effectLst/>
              <a:latin typeface="Arial" panose="020B0604020202020204" pitchFamily="34" charset="0"/>
              <a:ea typeface="+mn-ea"/>
              <a:cs typeface="Arial" panose="020B0604020202020204" pitchFamily="34" charset="0"/>
            </a:rPr>
            <a:t/>
          </a:r>
          <a:br>
            <a:rPr lang="de-DE" sz="1100">
              <a:solidFill>
                <a:schemeClr val="dk1"/>
              </a:solidFill>
              <a:effectLst/>
              <a:latin typeface="Arial" panose="020B0604020202020204" pitchFamily="34" charset="0"/>
              <a:ea typeface="+mn-ea"/>
              <a:cs typeface="Arial" panose="020B0604020202020204" pitchFamily="34" charset="0"/>
            </a:rPr>
          </a:br>
          <a:r>
            <a:rPr lang="de-DE" sz="1400" b="1">
              <a:solidFill>
                <a:schemeClr val="dk1"/>
              </a:solidFill>
              <a:effectLst/>
              <a:latin typeface="Arial" panose="020B0604020202020204" pitchFamily="34" charset="0"/>
              <a:ea typeface="+mn-ea"/>
              <a:cs typeface="Arial" panose="020B0604020202020204" pitchFamily="34" charset="0"/>
            </a:rPr>
            <a:t>AP 12 – Betrachtung der ökonomischen Umsetzbarkeit des EFM3-Vorhabens (Wirtschaftlichkeitsbetrachtung)</a:t>
          </a:r>
          <a:br>
            <a:rPr lang="de-DE" sz="1400" b="1">
              <a:solidFill>
                <a:schemeClr val="dk1"/>
              </a:solidFill>
              <a:effectLst/>
              <a:latin typeface="Arial" panose="020B0604020202020204" pitchFamily="34" charset="0"/>
              <a:ea typeface="+mn-ea"/>
              <a:cs typeface="Arial" panose="020B0604020202020204" pitchFamily="34" charset="0"/>
            </a:rPr>
          </a:br>
          <a:endParaRPr lang="de-DE" sz="1400" b="1">
            <a:solidFill>
              <a:schemeClr val="dk1"/>
            </a:solidFill>
            <a:effectLst/>
            <a:latin typeface="Arial" panose="020B0604020202020204" pitchFamily="34" charset="0"/>
            <a:ea typeface="+mn-ea"/>
            <a:cs typeface="Arial" panose="020B0604020202020204" pitchFamily="34" charset="0"/>
          </a:endParaRPr>
        </a:p>
        <a:p>
          <a:r>
            <a:rPr lang="de-DE" sz="1200" b="1">
              <a:solidFill>
                <a:schemeClr val="dk1"/>
              </a:solidFill>
              <a:effectLst/>
              <a:latin typeface="Arial" panose="020B0604020202020204" pitchFamily="34" charset="0"/>
              <a:ea typeface="+mn-ea"/>
              <a:cs typeface="Arial" panose="020B0604020202020204" pitchFamily="34" charset="0"/>
            </a:rPr>
            <a:t>Allgemeine Hinweise</a:t>
          </a:r>
        </a:p>
        <a:p>
          <a:endParaRPr lang="de-DE" sz="1200">
            <a:solidFill>
              <a:schemeClr val="dk1"/>
            </a:solidFill>
            <a:effectLst/>
            <a:latin typeface="Arial" panose="020B0604020202020204" pitchFamily="34" charset="0"/>
            <a:ea typeface="+mn-ea"/>
            <a:cs typeface="Arial" panose="020B0604020202020204" pitchFamily="34" charset="0"/>
          </a:endParaRPr>
        </a:p>
        <a:p>
          <a:r>
            <a:rPr lang="de-DE" sz="1200">
              <a:solidFill>
                <a:schemeClr val="dk1"/>
              </a:solidFill>
              <a:effectLst/>
              <a:latin typeface="Arial" panose="020B0604020202020204" pitchFamily="34" charset="0"/>
              <a:ea typeface="+mn-ea"/>
              <a:cs typeface="Arial" panose="020B0604020202020204" pitchFamily="34" charset="0"/>
            </a:rPr>
            <a:t>Das Rechenmodell 'Wirtschaftlichkeit EFM-3' und die dazugehörige Bedienungsanleitung ist im Auftrag des VRR 'Verkehrsverbund Rhein-Ruhr AöR' (AG) im Rahmen der Machbarkeitsstudie 'Aufbau, Einführung und Betrieb eines Check-In-Check-Out-Systems im Verkehrsverbund Rhein-Ruhr' durch das Konsortium BLIC GmbH / KCW GmbH (AN) entwickelt worden.</a:t>
          </a:r>
        </a:p>
        <a:p>
          <a:r>
            <a:rPr lang="de-DE" sz="1200">
              <a:solidFill>
                <a:schemeClr val="dk1"/>
              </a:solidFill>
              <a:effectLst/>
              <a:latin typeface="Arial" panose="020B0604020202020204" pitchFamily="34" charset="0"/>
              <a:ea typeface="+mn-ea"/>
              <a:cs typeface="Arial" panose="020B0604020202020204" pitchFamily="34" charset="0"/>
            </a:rPr>
            <a:t>Die nachfolgenden Blätter ermöglichen eine umfangreichen Einsicht ins Berechnungsmodell, damit kann nachvollzogen werden, wie das Modell arbeitet, wie etwa beispielsweise Ergebnisse durch die Ansteuerung/Verknüpfung verschiedener Parameter entstehen.</a:t>
          </a:r>
        </a:p>
        <a:p>
          <a:r>
            <a:rPr lang="de-DE" sz="1200">
              <a:solidFill>
                <a:schemeClr val="dk1"/>
              </a:solidFill>
              <a:effectLst/>
              <a:latin typeface="Arial" panose="020B0604020202020204" pitchFamily="34" charset="0"/>
              <a:ea typeface="+mn-ea"/>
              <a:cs typeface="Arial" panose="020B0604020202020204" pitchFamily="34" charset="0"/>
            </a:rPr>
            <a:t>Die Bedienungsanleitung bietet einen Einblick in die Struktur und die Daten des Modells. Zusammen mit dem Rechenmodell können damit verschiedene Szenarien durchgerechnet und Schlussfolgerungen bezüglich der Kosten und Wirtschaftlichkeit der EFM-3 Projekts gezogen werden.</a:t>
          </a:r>
        </a:p>
        <a:p>
          <a:endParaRPr lang="de-DE" sz="1200">
            <a:solidFill>
              <a:schemeClr val="dk1"/>
            </a:solidFill>
            <a:effectLst/>
            <a:latin typeface="Arial" panose="020B0604020202020204" pitchFamily="34" charset="0"/>
            <a:ea typeface="+mn-ea"/>
            <a:cs typeface="Arial" panose="020B0604020202020204" pitchFamily="34" charset="0"/>
          </a:endParaRPr>
        </a:p>
        <a:p>
          <a:endParaRPr lang="de-DE" sz="1200">
            <a:solidFill>
              <a:schemeClr val="dk1"/>
            </a:solidFill>
            <a:effectLst/>
            <a:latin typeface="Arial" panose="020B0604020202020204" pitchFamily="34" charset="0"/>
            <a:ea typeface="+mn-ea"/>
            <a:cs typeface="Arial" panose="020B0604020202020204" pitchFamily="34" charset="0"/>
          </a:endParaRPr>
        </a:p>
        <a:p>
          <a:r>
            <a:rPr lang="de-DE" sz="1200" b="1">
              <a:solidFill>
                <a:schemeClr val="dk1"/>
              </a:solidFill>
              <a:effectLst/>
              <a:latin typeface="Arial" panose="020B0604020202020204" pitchFamily="34" charset="0"/>
              <a:ea typeface="+mn-ea"/>
              <a:cs typeface="Arial" panose="020B0604020202020204" pitchFamily="34" charset="0"/>
            </a:rPr>
            <a:t>Vertraulichkeit</a:t>
          </a:r>
        </a:p>
        <a:p>
          <a:endParaRPr lang="de-DE" sz="1200">
            <a:solidFill>
              <a:schemeClr val="dk1"/>
            </a:solidFill>
            <a:effectLst/>
            <a:latin typeface="Arial" panose="020B0604020202020204" pitchFamily="34" charset="0"/>
            <a:ea typeface="+mn-ea"/>
            <a:cs typeface="Arial" panose="020B0604020202020204" pitchFamily="34" charset="0"/>
          </a:endParaRPr>
        </a:p>
        <a:p>
          <a:r>
            <a:rPr lang="de-DE" sz="1200">
              <a:solidFill>
                <a:schemeClr val="dk1"/>
              </a:solidFill>
              <a:effectLst/>
              <a:latin typeface="Arial" panose="020B0604020202020204" pitchFamily="34" charset="0"/>
              <a:ea typeface="+mn-ea"/>
              <a:cs typeface="Arial" panose="020B0604020202020204" pitchFamily="34" charset="0"/>
            </a:rPr>
            <a:t>Das Modell und alle darin enthaltenen Daten unterliegen der Vertraulichkeit, eine Weitergabe an Dritte ist nicht zulässig. Dritte sind jene Personen, die kein arbeitsvertragliches Verhältnis mit dem Auftraggeber oder den Auftragnehmern besitzen. </a:t>
          </a:r>
        </a:p>
        <a:p>
          <a:r>
            <a:rPr lang="de-DE" sz="1200">
              <a:solidFill>
                <a:schemeClr val="dk1"/>
              </a:solidFill>
              <a:effectLst/>
              <a:latin typeface="Arial" panose="020B0604020202020204" pitchFamily="34" charset="0"/>
              <a:ea typeface="+mn-ea"/>
              <a:cs typeface="Arial" panose="020B0604020202020204" pitchFamily="34" charset="0"/>
            </a:rPr>
            <a:t>Ausgenommen davon sind die mit dem VRR AöR über Kooperationsverträge verbundenen kommunalen und regionalen Verkehrsunternehmen im VRR sowie die entsprechenden SPNV-Unternehmen, weiterhin Gesellschafter, freiberuflich beschäftigte Personen, Subunternehmer oder etwaige weitere Geschäftspartner von AG und AN, soweit diese in den Informations- und Kommunikationsprozess einbezogen werden müssen. Diese sind entsprechend zur Vertraulichkeit zu verpflichten.</a:t>
          </a:r>
        </a:p>
        <a:p>
          <a:endParaRPr lang="de-DE" sz="1200">
            <a:solidFill>
              <a:schemeClr val="dk1"/>
            </a:solidFill>
            <a:effectLst/>
            <a:latin typeface="Arial" panose="020B0604020202020204" pitchFamily="34" charset="0"/>
            <a:ea typeface="+mn-ea"/>
            <a:cs typeface="Arial" panose="020B0604020202020204" pitchFamily="34" charset="0"/>
          </a:endParaRPr>
        </a:p>
        <a:p>
          <a:endParaRPr lang="de-DE" sz="1200">
            <a:solidFill>
              <a:schemeClr val="dk1"/>
            </a:solidFill>
            <a:effectLst/>
            <a:latin typeface="Arial" panose="020B0604020202020204" pitchFamily="34" charset="0"/>
            <a:ea typeface="+mn-ea"/>
            <a:cs typeface="Arial" panose="020B0604020202020204" pitchFamily="34" charset="0"/>
          </a:endParaRPr>
        </a:p>
        <a:p>
          <a:r>
            <a:rPr lang="de-DE" sz="1200" b="1">
              <a:solidFill>
                <a:schemeClr val="dk1"/>
              </a:solidFill>
              <a:effectLst/>
              <a:latin typeface="Arial" panose="020B0604020202020204" pitchFamily="34" charset="0"/>
              <a:ea typeface="+mn-ea"/>
              <a:cs typeface="Arial" panose="020B0604020202020204" pitchFamily="34" charset="0"/>
            </a:rPr>
            <a:t>Copyright</a:t>
          </a:r>
        </a:p>
        <a:p>
          <a:endParaRPr lang="de-DE" sz="1200">
            <a:solidFill>
              <a:schemeClr val="dk1"/>
            </a:solidFill>
            <a:effectLst/>
            <a:latin typeface="Arial" panose="020B0604020202020204" pitchFamily="34" charset="0"/>
            <a:ea typeface="+mn-ea"/>
            <a:cs typeface="Arial" panose="020B0604020202020204" pitchFamily="34" charset="0"/>
          </a:endParaRPr>
        </a:p>
        <a:p>
          <a:r>
            <a:rPr lang="de-DE" sz="1200">
              <a:solidFill>
                <a:schemeClr val="dk1"/>
              </a:solidFill>
              <a:effectLst/>
              <a:latin typeface="Arial" panose="020B0604020202020204" pitchFamily="34" charset="0"/>
              <a:ea typeface="+mn-ea"/>
              <a:cs typeface="Arial" panose="020B0604020202020204" pitchFamily="34" charset="0"/>
            </a:rPr>
            <a:t>Die geistigen Eigentumsrechte am Rechenmodell liegen beim Auftragnehmerkonsortium BLIC GmbH / KCW GmbH.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370114</xdr:colOff>
      <xdr:row>0</xdr:row>
      <xdr:rowOff>177801</xdr:rowOff>
    </xdr:from>
    <xdr:to>
      <xdr:col>19</xdr:col>
      <xdr:colOff>760096</xdr:colOff>
      <xdr:row>30</xdr:row>
      <xdr:rowOff>69274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357250</xdr:colOff>
      <xdr:row>31</xdr:row>
      <xdr:rowOff>145969</xdr:rowOff>
    </xdr:from>
    <xdr:to>
      <xdr:col>19</xdr:col>
      <xdr:colOff>748410</xdr:colOff>
      <xdr:row>63</xdr:row>
      <xdr:rowOff>34638</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201705</xdr:colOff>
      <xdr:row>65</xdr:row>
      <xdr:rowOff>49867</xdr:rowOff>
    </xdr:from>
    <xdr:to>
      <xdr:col>20</xdr:col>
      <xdr:colOff>257734</xdr:colOff>
      <xdr:row>86</xdr:row>
      <xdr:rowOff>98052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14</xdr:row>
      <xdr:rowOff>0</xdr:rowOff>
    </xdr:from>
    <xdr:to>
      <xdr:col>4</xdr:col>
      <xdr:colOff>1161440</xdr:colOff>
      <xdr:row>25</xdr:row>
      <xdr:rowOff>247650</xdr:rowOff>
    </xdr:to>
    <xdr:pic>
      <xdr:nvPicPr>
        <xdr:cNvPr id="2" name="Grafik 1"/>
        <xdr:cNvPicPr>
          <a:picLocks noChangeAspect="1"/>
        </xdr:cNvPicPr>
      </xdr:nvPicPr>
      <xdr:blipFill>
        <a:blip xmlns:r="http://schemas.openxmlformats.org/officeDocument/2006/relationships" r:embed="rId1"/>
        <a:stretch>
          <a:fillRect/>
        </a:stretch>
      </xdr:blipFill>
      <xdr:spPr>
        <a:xfrm>
          <a:off x="142875" y="4724400"/>
          <a:ext cx="4885715" cy="2343150"/>
        </a:xfrm>
        <a:prstGeom prst="rect">
          <a:avLst/>
        </a:prstGeom>
      </xdr:spPr>
    </xdr:pic>
    <xdr:clientData/>
  </xdr:twoCellAnchor>
  <xdr:twoCellAnchor editAs="oneCell">
    <xdr:from>
      <xdr:col>5</xdr:col>
      <xdr:colOff>47625</xdr:colOff>
      <xdr:row>16</xdr:row>
      <xdr:rowOff>25682</xdr:rowOff>
    </xdr:from>
    <xdr:to>
      <xdr:col>7</xdr:col>
      <xdr:colOff>1321213</xdr:colOff>
      <xdr:row>24</xdr:row>
      <xdr:rowOff>171450</xdr:rowOff>
    </xdr:to>
    <xdr:pic>
      <xdr:nvPicPr>
        <xdr:cNvPr id="3" name="Grafik 2"/>
        <xdr:cNvPicPr>
          <a:picLocks noChangeAspect="1"/>
        </xdr:cNvPicPr>
      </xdr:nvPicPr>
      <xdr:blipFill>
        <a:blip xmlns:r="http://schemas.openxmlformats.org/officeDocument/2006/relationships" r:embed="rId2"/>
        <a:stretch>
          <a:fillRect/>
        </a:stretch>
      </xdr:blipFill>
      <xdr:spPr>
        <a:xfrm>
          <a:off x="5076825" y="5064407"/>
          <a:ext cx="3635788" cy="166976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8.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vmlDrawing" Target="../drawings/vmlDrawing20.v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
  <sheetViews>
    <sheetView zoomScaleNormal="100" workbookViewId="0"/>
  </sheetViews>
  <sheetFormatPr baseColWidth="10" defaultRowHeight="15" x14ac:dyDescent="0.25"/>
  <cols>
    <col min="1" max="16384" width="11.42578125" style="121"/>
  </cols>
  <sheetData/>
  <sheetProtection sheet="1" objects="1" scenarios="1"/>
  <pageMargins left="0.70866141732283472" right="0.70866141732283472" top="0.98425196850393704" bottom="0.78740157480314965" header="0.31496062992125984" footer="0.31496062992125984"/>
  <pageSetup paperSize="9" scale="76" orientation="portrait" r:id="rId1"/>
  <headerFooter>
    <oddHeader>&amp;L&amp;"Arial,Fett"&amp;16Gesamt-VRR&amp;C&amp;"Arial,Fett"&amp;16Machbarkeitsstudie EFM-3
- VERTRAULICH! -&amp;R&amp;G</oddHeader>
    <oddFooter>&amp;L&amp;"Arial,Standard"&amp;F
&amp;A
&amp;D
© BLIC / KCW&amp;C&amp;"Arial,Standard"&amp;P / &amp;N&amp;R&amp;G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N25"/>
  <sheetViews>
    <sheetView topLeftCell="A4" zoomScale="85" zoomScaleNormal="85" zoomScalePageLayoutView="40" workbookViewId="0"/>
  </sheetViews>
  <sheetFormatPr baseColWidth="10" defaultColWidth="11.42578125" defaultRowHeight="14.25" x14ac:dyDescent="0.25"/>
  <cols>
    <col min="1" max="1" width="2" style="365" customWidth="1"/>
    <col min="2" max="4" width="17.7109375" style="365" customWidth="1"/>
    <col min="5" max="5" width="22.7109375" style="365" customWidth="1"/>
    <col min="6" max="6" width="22.7109375" style="430" customWidth="1"/>
    <col min="7" max="10" width="22.7109375" style="365" customWidth="1"/>
    <col min="11" max="11" width="23.7109375" style="365" customWidth="1"/>
    <col min="12" max="12" width="35.7109375" style="365" customWidth="1"/>
    <col min="13" max="14" width="33.7109375" style="365" customWidth="1"/>
    <col min="15" max="16384" width="11.42578125" style="365"/>
  </cols>
  <sheetData>
    <row r="1" spans="1:12" s="419" customFormat="1" ht="30" customHeight="1" thickBot="1" x14ac:dyDescent="0.3">
      <c r="A1" s="418" t="s">
        <v>20</v>
      </c>
      <c r="F1" s="420"/>
      <c r="G1" s="421"/>
      <c r="H1" s="421"/>
      <c r="I1" s="421"/>
      <c r="J1" s="421"/>
      <c r="K1" s="421"/>
    </row>
    <row r="2" spans="1:12" s="419" customFormat="1" ht="90" customHeight="1" thickBot="1" x14ac:dyDescent="0.3">
      <c r="B2" s="1052" t="s">
        <v>23</v>
      </c>
      <c r="C2" s="1053"/>
      <c r="D2" s="1053"/>
      <c r="E2" s="1053"/>
      <c r="F2" s="1053"/>
      <c r="G2" s="1053"/>
      <c r="H2" s="1053"/>
      <c r="I2" s="1053"/>
      <c r="J2" s="1053"/>
      <c r="K2" s="1054"/>
    </row>
    <row r="3" spans="1:12" s="419" customFormat="1" ht="9.9499999999999993" customHeight="1" thickBot="1" x14ac:dyDescent="0.3">
      <c r="B3" s="425"/>
      <c r="F3" s="420"/>
      <c r="G3" s="423"/>
      <c r="H3" s="423"/>
      <c r="I3" s="423"/>
      <c r="J3" s="423"/>
      <c r="K3" s="424"/>
    </row>
    <row r="4" spans="1:12" s="419" customFormat="1" ht="15" customHeight="1" x14ac:dyDescent="0.25">
      <c r="A4" s="427"/>
      <c r="B4" s="1006" t="s">
        <v>25</v>
      </c>
      <c r="C4" s="1007"/>
      <c r="D4" s="1008"/>
      <c r="E4" s="1006" t="s">
        <v>6</v>
      </c>
      <c r="F4" s="1018" t="s">
        <v>595</v>
      </c>
      <c r="G4" s="1055" t="s">
        <v>593</v>
      </c>
      <c r="H4" s="1055" t="s">
        <v>21</v>
      </c>
      <c r="I4" s="1055" t="s">
        <v>596</v>
      </c>
      <c r="J4" s="1055" t="s">
        <v>594</v>
      </c>
      <c r="K4" s="1018" t="s">
        <v>22</v>
      </c>
      <c r="L4" s="1064" t="s">
        <v>8</v>
      </c>
    </row>
    <row r="5" spans="1:12" ht="18" customHeight="1" x14ac:dyDescent="0.25">
      <c r="A5" s="430"/>
      <c r="B5" s="1009"/>
      <c r="C5" s="1010"/>
      <c r="D5" s="1011"/>
      <c r="E5" s="1009"/>
      <c r="F5" s="1019"/>
      <c r="G5" s="1022"/>
      <c r="H5" s="1022"/>
      <c r="I5" s="1022"/>
      <c r="J5" s="1022"/>
      <c r="K5" s="1056"/>
      <c r="L5" s="1065"/>
    </row>
    <row r="6" spans="1:12" ht="18" customHeight="1" thickBot="1" x14ac:dyDescent="0.3">
      <c r="A6" s="430"/>
      <c r="B6" s="1012"/>
      <c r="C6" s="1013"/>
      <c r="D6" s="1014"/>
      <c r="E6" s="1012"/>
      <c r="F6" s="1020"/>
      <c r="G6" s="1023"/>
      <c r="H6" s="1023"/>
      <c r="I6" s="1023"/>
      <c r="J6" s="1023"/>
      <c r="K6" s="1057"/>
      <c r="L6" s="1066"/>
    </row>
    <row r="7" spans="1:12" ht="42.95" customHeight="1" x14ac:dyDescent="0.25">
      <c r="B7" s="1067" t="s">
        <v>362</v>
      </c>
      <c r="C7" s="1068"/>
      <c r="D7" s="1069"/>
      <c r="E7" s="461">
        <f>Eingabeparameter!C4</f>
        <v>1</v>
      </c>
      <c r="F7" s="433">
        <f>Eingabeparameter!I4</f>
        <v>120000</v>
      </c>
      <c r="G7" s="433">
        <f>H7-F7</f>
        <v>1590000</v>
      </c>
      <c r="H7" s="462">
        <f>Eingabeparameter!H4</f>
        <v>1710000</v>
      </c>
      <c r="I7" s="463">
        <f>E7*F7*IF(Eingabeparameter!$C$80&gt;0,Eingabeparameter!$C$80,1)</f>
        <v>120000</v>
      </c>
      <c r="J7" s="464">
        <f>E7*G7</f>
        <v>1590000</v>
      </c>
      <c r="K7" s="465">
        <f>I7+J7</f>
        <v>1710000</v>
      </c>
      <c r="L7" s="1061" t="s">
        <v>720</v>
      </c>
    </row>
    <row r="8" spans="1:12" ht="42.95" customHeight="1" x14ac:dyDescent="0.25">
      <c r="B8" s="1058" t="s">
        <v>361</v>
      </c>
      <c r="C8" s="1059"/>
      <c r="D8" s="1060"/>
      <c r="E8" s="437">
        <f>Eingabeparameter!C5+Eingabeparameter!C6</f>
        <v>3803</v>
      </c>
      <c r="F8" s="438">
        <f>Eingabeparameter!I5</f>
        <v>115</v>
      </c>
      <c r="G8" s="438">
        <f>H8-F8</f>
        <v>525</v>
      </c>
      <c r="H8" s="438">
        <f>Eingabeparameter!H5</f>
        <v>640</v>
      </c>
      <c r="I8" s="463">
        <f>E8*F8*IF(Eingabeparameter!$C$80&gt;0,Eingabeparameter!$C$80,1)</f>
        <v>437345</v>
      </c>
      <c r="J8" s="463">
        <f>E8*G8*IF(Eingabeparameter!$C$79&gt;0,Eingabeparameter!$C$79,1)</f>
        <v>1996575</v>
      </c>
      <c r="K8" s="466">
        <f>I8+J8</f>
        <v>2433920</v>
      </c>
      <c r="L8" s="1062"/>
    </row>
    <row r="9" spans="1:12" ht="42.95" customHeight="1" x14ac:dyDescent="0.25">
      <c r="B9" s="1058" t="s">
        <v>360</v>
      </c>
      <c r="C9" s="1059"/>
      <c r="D9" s="1060"/>
      <c r="E9" s="437">
        <f>Eingabeparameter!C8</f>
        <v>27117</v>
      </c>
      <c r="F9" s="438">
        <f>Eingabeparameter!I8</f>
        <v>75</v>
      </c>
      <c r="G9" s="438">
        <f t="shared" ref="G9:G21" si="0">H9-F9</f>
        <v>300</v>
      </c>
      <c r="H9" s="438">
        <f>Eingabeparameter!H8</f>
        <v>375</v>
      </c>
      <c r="I9" s="463">
        <f>E9*F9*IF(Eingabeparameter!$C$80&gt;0,Eingabeparameter!$C$80,1)</f>
        <v>2033775</v>
      </c>
      <c r="J9" s="463">
        <f>E9*G9*IF(Eingabeparameter!$C$79&gt;0,Eingabeparameter!$C$79,1)</f>
        <v>8135100</v>
      </c>
      <c r="K9" s="466">
        <f t="shared" ref="K9:K21" si="1">I9+J9</f>
        <v>10168875</v>
      </c>
      <c r="L9" s="1062"/>
    </row>
    <row r="10" spans="1:12" ht="42.95" customHeight="1" x14ac:dyDescent="0.25">
      <c r="B10" s="1070" t="s">
        <v>363</v>
      </c>
      <c r="C10" s="1071"/>
      <c r="D10" s="1072"/>
      <c r="E10" s="437">
        <f>Eingabeparameter!C9</f>
        <v>0</v>
      </c>
      <c r="F10" s="438">
        <f>Eingabeparameter!I9</f>
        <v>60</v>
      </c>
      <c r="G10" s="438">
        <f t="shared" si="0"/>
        <v>240</v>
      </c>
      <c r="H10" s="438">
        <f>Eingabeparameter!H9</f>
        <v>300</v>
      </c>
      <c r="I10" s="463">
        <f>E10*F10*IF(Eingabeparameter!$C$80&gt;0,Eingabeparameter!$C$80,1)</f>
        <v>0</v>
      </c>
      <c r="J10" s="463">
        <f>E10*G10*IF(Eingabeparameter!$C$79&gt;0,Eingabeparameter!$C$79,1)</f>
        <v>0</v>
      </c>
      <c r="K10" s="466">
        <f t="shared" si="1"/>
        <v>0</v>
      </c>
      <c r="L10" s="1062"/>
    </row>
    <row r="11" spans="1:12" ht="42.95" customHeight="1" x14ac:dyDescent="0.25">
      <c r="B11" s="1058" t="s">
        <v>29</v>
      </c>
      <c r="C11" s="1059"/>
      <c r="D11" s="1060"/>
      <c r="E11" s="437">
        <f>Eingabeparameter!C11</f>
        <v>1569</v>
      </c>
      <c r="F11" s="438">
        <f>Eingabeparameter!I11</f>
        <v>185</v>
      </c>
      <c r="G11" s="438">
        <f t="shared" si="0"/>
        <v>525</v>
      </c>
      <c r="H11" s="438">
        <f>Eingabeparameter!H11</f>
        <v>710</v>
      </c>
      <c r="I11" s="463">
        <f>E11*F11*IF(Eingabeparameter!$C$80&gt;0,Eingabeparameter!$C$80,1)</f>
        <v>290265</v>
      </c>
      <c r="J11" s="463">
        <f>E11*G11*IF(Eingabeparameter!$C$79&gt;0,Eingabeparameter!$C$79,1)</f>
        <v>823725</v>
      </c>
      <c r="K11" s="466">
        <f t="shared" si="1"/>
        <v>1113990</v>
      </c>
      <c r="L11" s="1062"/>
    </row>
    <row r="12" spans="1:12" ht="42.95" customHeight="1" x14ac:dyDescent="0.25">
      <c r="B12" s="1058" t="s">
        <v>364</v>
      </c>
      <c r="C12" s="1059"/>
      <c r="D12" s="1060"/>
      <c r="E12" s="437">
        <f>Eingabeparameter!C12</f>
        <v>0</v>
      </c>
      <c r="F12" s="438">
        <f>Eingabeparameter!I12</f>
        <v>0</v>
      </c>
      <c r="G12" s="438">
        <f t="shared" si="0"/>
        <v>200</v>
      </c>
      <c r="H12" s="438">
        <f>Eingabeparameter!H12</f>
        <v>200</v>
      </c>
      <c r="I12" s="463">
        <f>E12*F12*IF(Eingabeparameter!$C$80&gt;0,Eingabeparameter!$C$80,1)</f>
        <v>0</v>
      </c>
      <c r="J12" s="463">
        <f>E12*G12*IF(Eingabeparameter!$C$79&gt;0,Eingabeparameter!$C$79,1)</f>
        <v>0</v>
      </c>
      <c r="K12" s="466">
        <f t="shared" si="1"/>
        <v>0</v>
      </c>
      <c r="L12" s="1062"/>
    </row>
    <row r="13" spans="1:12" ht="42.95" customHeight="1" x14ac:dyDescent="0.25">
      <c r="B13" s="1058" t="s">
        <v>42</v>
      </c>
      <c r="C13" s="1059"/>
      <c r="D13" s="1060"/>
      <c r="E13" s="437">
        <f>Eingabeparameter!C14+Eingabeparameter!C15</f>
        <v>1069</v>
      </c>
      <c r="F13" s="438">
        <f>Eingabeparameter!I14</f>
        <v>2230</v>
      </c>
      <c r="G13" s="438">
        <f t="shared" si="0"/>
        <v>5650</v>
      </c>
      <c r="H13" s="438">
        <f>Eingabeparameter!H14</f>
        <v>7880</v>
      </c>
      <c r="I13" s="463">
        <f>E13*F13*IF(Eingabeparameter!$C$80&gt;0,Eingabeparameter!$C$80,1)</f>
        <v>2383870</v>
      </c>
      <c r="J13" s="463">
        <f>E13*G13*IF(Eingabeparameter!$C$79&gt;0,Eingabeparameter!$C$79,1)</f>
        <v>6039850</v>
      </c>
      <c r="K13" s="466">
        <f t="shared" si="1"/>
        <v>8423720</v>
      </c>
      <c r="L13" s="1062"/>
    </row>
    <row r="14" spans="1:12" ht="42.95" customHeight="1" x14ac:dyDescent="0.25">
      <c r="B14" s="1070" t="s">
        <v>722</v>
      </c>
      <c r="C14" s="1071"/>
      <c r="D14" s="1072"/>
      <c r="E14" s="437">
        <f>Eingabeparameter!C16+Eingabeparameter!C17</f>
        <v>500</v>
      </c>
      <c r="F14" s="438">
        <f>Eingabeparameter!I17</f>
        <v>700</v>
      </c>
      <c r="G14" s="438">
        <f t="shared" si="0"/>
        <v>1800</v>
      </c>
      <c r="H14" s="438">
        <f>Eingabeparameter!H16</f>
        <v>2500</v>
      </c>
      <c r="I14" s="463">
        <f>E14*F14*IF(Eingabeparameter!$C$80&gt;0,Eingabeparameter!$C$80,1)</f>
        <v>350000</v>
      </c>
      <c r="J14" s="463">
        <f>E14*G14*IF(Eingabeparameter!$C$79&gt;0,Eingabeparameter!$C$79,1)</f>
        <v>900000</v>
      </c>
      <c r="K14" s="466">
        <f t="shared" si="1"/>
        <v>1250000</v>
      </c>
      <c r="L14" s="1062"/>
    </row>
    <row r="15" spans="1:12" ht="42.95" customHeight="1" x14ac:dyDescent="0.25">
      <c r="B15" s="1070" t="s">
        <v>721</v>
      </c>
      <c r="C15" s="1071"/>
      <c r="D15" s="1072"/>
      <c r="E15" s="437">
        <f>Eingabeparameter!C18</f>
        <v>458</v>
      </c>
      <c r="F15" s="438">
        <f>Eingabeparameter!I18</f>
        <v>700</v>
      </c>
      <c r="G15" s="438">
        <f t="shared" si="0"/>
        <v>1800</v>
      </c>
      <c r="H15" s="438">
        <f>Eingabeparameter!H18</f>
        <v>2500</v>
      </c>
      <c r="I15" s="463">
        <f>E15*F15*IF(Eingabeparameter!$C$80&gt;0,Eingabeparameter!$C$80,1)</f>
        <v>320600</v>
      </c>
      <c r="J15" s="463">
        <f>E15*G15*IF(Eingabeparameter!$C$79&gt;0,Eingabeparameter!$C$79,1)</f>
        <v>824400</v>
      </c>
      <c r="K15" s="466">
        <f t="shared" si="1"/>
        <v>1145000</v>
      </c>
      <c r="L15" s="1062"/>
    </row>
    <row r="16" spans="1:12" ht="42.95" customHeight="1" x14ac:dyDescent="0.25">
      <c r="B16" s="1070" t="s">
        <v>589</v>
      </c>
      <c r="C16" s="1071"/>
      <c r="D16" s="1072"/>
      <c r="E16" s="437">
        <f>Eingabeparameter!C19</f>
        <v>3771</v>
      </c>
      <c r="F16" s="438">
        <f>Eingabeparameter!I19</f>
        <v>300</v>
      </c>
      <c r="G16" s="438">
        <f t="shared" si="0"/>
        <v>700</v>
      </c>
      <c r="H16" s="438">
        <f>Eingabeparameter!H19</f>
        <v>1000</v>
      </c>
      <c r="I16" s="463">
        <f>E16*F16*IF(Eingabeparameter!$C$80&gt;0,Eingabeparameter!$C$80,1)</f>
        <v>1131300</v>
      </c>
      <c r="J16" s="463">
        <f>E16*G16*IF(Eingabeparameter!$C$79&gt;0,Eingabeparameter!$C$79,1)</f>
        <v>2639700</v>
      </c>
      <c r="K16" s="466">
        <f t="shared" si="1"/>
        <v>3771000</v>
      </c>
      <c r="L16" s="1062"/>
    </row>
    <row r="17" spans="2:14" ht="42.95" customHeight="1" x14ac:dyDescent="0.25">
      <c r="B17" s="1058" t="s">
        <v>30</v>
      </c>
      <c r="C17" s="1059"/>
      <c r="D17" s="1060"/>
      <c r="E17" s="437">
        <f>Eingabeparameter!C21</f>
        <v>271</v>
      </c>
      <c r="F17" s="438">
        <f>Eingabeparameter!I21</f>
        <v>100</v>
      </c>
      <c r="G17" s="438">
        <f t="shared" si="0"/>
        <v>300</v>
      </c>
      <c r="H17" s="438">
        <f>Eingabeparameter!H21</f>
        <v>400</v>
      </c>
      <c r="I17" s="463">
        <f>E17*F17*IF(Eingabeparameter!$C$80&gt;0,Eingabeparameter!$C$80,1)</f>
        <v>27100</v>
      </c>
      <c r="J17" s="463">
        <f>E17*G17*IF(Eingabeparameter!$C$79&gt;0,Eingabeparameter!$C$79,1)</f>
        <v>81300</v>
      </c>
      <c r="K17" s="466">
        <f t="shared" si="1"/>
        <v>108400</v>
      </c>
      <c r="L17" s="1062"/>
    </row>
    <row r="18" spans="2:14" ht="42.95" customHeight="1" x14ac:dyDescent="0.25">
      <c r="B18" s="1058" t="s">
        <v>367</v>
      </c>
      <c r="C18" s="1059"/>
      <c r="D18" s="1060"/>
      <c r="E18" s="437">
        <f>Eingabeparameter!C22</f>
        <v>1283</v>
      </c>
      <c r="F18" s="438">
        <f>Eingabeparameter!I22</f>
        <v>50</v>
      </c>
      <c r="G18" s="438">
        <f t="shared" si="0"/>
        <v>115</v>
      </c>
      <c r="H18" s="438">
        <f>Eingabeparameter!H22</f>
        <v>165</v>
      </c>
      <c r="I18" s="463">
        <f>E18*F18*IF(Eingabeparameter!$C$80&gt;0,Eingabeparameter!$C$80,1)</f>
        <v>64150</v>
      </c>
      <c r="J18" s="463">
        <f>E18*G18*IF(Eingabeparameter!$C$79&gt;0,Eingabeparameter!$C$79,1)</f>
        <v>147545</v>
      </c>
      <c r="K18" s="466">
        <f t="shared" si="1"/>
        <v>211695</v>
      </c>
      <c r="L18" s="1062"/>
    </row>
    <row r="19" spans="2:14" ht="42.95" customHeight="1" x14ac:dyDescent="0.25">
      <c r="B19" s="1070" t="s">
        <v>424</v>
      </c>
      <c r="C19" s="1071"/>
      <c r="D19" s="1072"/>
      <c r="E19" s="437">
        <f>Eingabeparameter!C24</f>
        <v>39841</v>
      </c>
      <c r="F19" s="438">
        <f>Eingabeparameter!I24</f>
        <v>0</v>
      </c>
      <c r="G19" s="438">
        <f t="shared" si="0"/>
        <v>0</v>
      </c>
      <c r="H19" s="438">
        <f>Eingabeparameter!H24</f>
        <v>0</v>
      </c>
      <c r="I19" s="463">
        <f>E19*F19*IF(Eingabeparameter!$C$80&gt;0,Eingabeparameter!$C$80,1)</f>
        <v>0</v>
      </c>
      <c r="J19" s="463">
        <f>E19*G19*IF(Eingabeparameter!$C$79&gt;0,Eingabeparameter!$C$79,1)</f>
        <v>0</v>
      </c>
      <c r="K19" s="466">
        <f t="shared" si="1"/>
        <v>0</v>
      </c>
      <c r="L19" s="1062"/>
    </row>
    <row r="20" spans="2:14" ht="42.95" customHeight="1" x14ac:dyDescent="0.25">
      <c r="B20" s="1058" t="s">
        <v>27</v>
      </c>
      <c r="C20" s="1059"/>
      <c r="D20" s="1060"/>
      <c r="E20" s="437">
        <v>1</v>
      </c>
      <c r="F20" s="438"/>
      <c r="G20" s="438">
        <f t="shared" si="0"/>
        <v>1410000</v>
      </c>
      <c r="H20" s="438">
        <f>Eingabeparameter!G29</f>
        <v>1410000</v>
      </c>
      <c r="I20" s="463">
        <f>E20*F20*IF(Eingabeparameter!$C$80&gt;0,Eingabeparameter!$C$80,1)</f>
        <v>0</v>
      </c>
      <c r="J20" s="463">
        <f>E20*G20*IF(Eingabeparameter!$C$79&gt;0,Eingabeparameter!$C$79,1)</f>
        <v>1410000</v>
      </c>
      <c r="K20" s="466">
        <f t="shared" si="1"/>
        <v>1410000</v>
      </c>
      <c r="L20" s="1062"/>
    </row>
    <row r="21" spans="2:14" ht="42.95" customHeight="1" thickBot="1" x14ac:dyDescent="0.3">
      <c r="B21" s="1073" t="s">
        <v>28</v>
      </c>
      <c r="C21" s="1074"/>
      <c r="D21" s="1075"/>
      <c r="E21" s="447">
        <v>1</v>
      </c>
      <c r="F21" s="448"/>
      <c r="G21" s="448">
        <f t="shared" si="0"/>
        <v>2260000</v>
      </c>
      <c r="H21" s="467">
        <f>Eingabeparameter!G30</f>
        <v>2260000</v>
      </c>
      <c r="I21" s="468">
        <f>E21*F21*IF(Eingabeparameter!$C$80&gt;0,Eingabeparameter!$C$80,1)</f>
        <v>0</v>
      </c>
      <c r="J21" s="468">
        <f>E21*G21*IF(Eingabeparameter!$C$79&gt;0,Eingabeparameter!$C$79,1)</f>
        <v>2260000</v>
      </c>
      <c r="K21" s="469">
        <f t="shared" si="1"/>
        <v>2260000</v>
      </c>
      <c r="L21" s="1063"/>
    </row>
    <row r="22" spans="2:14" s="419" customFormat="1" ht="24.95" customHeight="1" thickBot="1" x14ac:dyDescent="0.3">
      <c r="B22" s="983" t="s">
        <v>26</v>
      </c>
      <c r="C22" s="984"/>
      <c r="D22" s="984"/>
      <c r="E22" s="470"/>
      <c r="F22" s="471"/>
      <c r="G22" s="471"/>
      <c r="H22" s="471"/>
      <c r="I22" s="455">
        <f>SUM(I7:I21)</f>
        <v>7158405</v>
      </c>
      <c r="J22" s="472">
        <f>SUM(J7:J21)</f>
        <v>26848195</v>
      </c>
      <c r="K22" s="473">
        <f>SUM(K7:K21)</f>
        <v>34006600</v>
      </c>
      <c r="M22" s="365"/>
      <c r="N22" s="365"/>
    </row>
    <row r="23" spans="2:14" s="419" customFormat="1" ht="9.9499999999999993" customHeight="1" x14ac:dyDescent="0.25">
      <c r="B23" s="458"/>
      <c r="C23" s="458"/>
      <c r="D23" s="458"/>
      <c r="F23" s="459"/>
      <c r="G23" s="459"/>
      <c r="H23" s="459"/>
      <c r="I23" s="459"/>
      <c r="J23" s="459"/>
      <c r="M23" s="365"/>
      <c r="N23" s="365"/>
    </row>
    <row r="24" spans="2:14" x14ac:dyDescent="0.25">
      <c r="F24" s="365"/>
      <c r="J24" s="430"/>
    </row>
    <row r="25" spans="2:14" x14ac:dyDescent="0.25">
      <c r="F25" s="365"/>
      <c r="I25" s="430"/>
    </row>
  </sheetData>
  <sheetProtection sheet="1" objects="1" scenarios="1"/>
  <mergeCells count="27">
    <mergeCell ref="B22:D22"/>
    <mergeCell ref="B12:D12"/>
    <mergeCell ref="B10:D10"/>
    <mergeCell ref="B19:D19"/>
    <mergeCell ref="B16:D16"/>
    <mergeCell ref="B18:D18"/>
    <mergeCell ref="B15:D15"/>
    <mergeCell ref="B13:D13"/>
    <mergeCell ref="B17:D17"/>
    <mergeCell ref="B20:D20"/>
    <mergeCell ref="B21:D21"/>
    <mergeCell ref="B14:D14"/>
    <mergeCell ref="L7:L21"/>
    <mergeCell ref="L4:L6"/>
    <mergeCell ref="B7:D7"/>
    <mergeCell ref="B8:D8"/>
    <mergeCell ref="B9:D9"/>
    <mergeCell ref="G4:G6"/>
    <mergeCell ref="I4:I6"/>
    <mergeCell ref="J4:J6"/>
    <mergeCell ref="B2:K2"/>
    <mergeCell ref="H4:H6"/>
    <mergeCell ref="K4:K6"/>
    <mergeCell ref="B4:D6"/>
    <mergeCell ref="B11:D11"/>
    <mergeCell ref="E4:E6"/>
    <mergeCell ref="F4:F6"/>
  </mergeCells>
  <printOptions horizontalCentered="1" verticalCentered="1"/>
  <pageMargins left="0.70866141732283472" right="0.70866141732283472" top="0.98425196850393704" bottom="0.78740157480314965" header="0.31496062992125984" footer="0.31496062992125984"/>
  <pageSetup paperSize="8" scale="76"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zoomScaleNormal="100" zoomScalePageLayoutView="70" workbookViewId="0"/>
  </sheetViews>
  <sheetFormatPr baseColWidth="10" defaultColWidth="11.42578125" defaultRowHeight="15" x14ac:dyDescent="0.25"/>
  <cols>
    <col min="1" max="1" width="2.5703125" style="474" customWidth="1"/>
    <col min="2" max="2" width="27.42578125" style="474" customWidth="1"/>
    <col min="3" max="3" width="8.140625" style="474" customWidth="1"/>
    <col min="4" max="4" width="12.28515625" style="474" customWidth="1"/>
    <col min="5" max="5" width="11" style="474" customWidth="1"/>
    <col min="6" max="6" width="3.140625" style="474" customWidth="1"/>
    <col min="7" max="9" width="11.42578125" style="474"/>
    <col min="10" max="10" width="11.5703125" style="474" customWidth="1"/>
    <col min="11" max="15" width="11.42578125" style="474"/>
    <col min="16" max="16" width="11.85546875" style="474" bestFit="1" customWidth="1"/>
    <col min="17" max="17" width="11.42578125" style="474"/>
    <col min="18" max="18" width="12.42578125" style="474" customWidth="1"/>
    <col min="19" max="19" width="13" style="474" customWidth="1"/>
    <col min="20" max="21" width="11.42578125" style="474"/>
    <col min="22" max="22" width="12.7109375" style="474" bestFit="1" customWidth="1"/>
    <col min="23" max="23" width="12" style="474" customWidth="1"/>
    <col min="24" max="24" width="11.85546875" style="474" bestFit="1" customWidth="1"/>
    <col min="25" max="25" width="13" style="474" customWidth="1"/>
    <col min="26" max="16384" width="11.42578125" style="474"/>
  </cols>
  <sheetData>
    <row r="1" spans="1:25" ht="18" x14ac:dyDescent="0.25">
      <c r="A1" s="418" t="s">
        <v>643</v>
      </c>
    </row>
    <row r="2" spans="1:25" ht="15.75" thickBot="1" x14ac:dyDescent="0.3"/>
    <row r="3" spans="1:25" ht="16.5" thickBot="1" x14ac:dyDescent="0.3">
      <c r="A3" s="474" t="s">
        <v>551</v>
      </c>
      <c r="G3" s="475">
        <v>1</v>
      </c>
      <c r="H3" s="475">
        <v>2</v>
      </c>
      <c r="I3" s="475">
        <v>3</v>
      </c>
      <c r="J3" s="475">
        <v>4</v>
      </c>
      <c r="K3" s="475">
        <v>5</v>
      </c>
      <c r="L3" s="475">
        <v>6</v>
      </c>
      <c r="M3" s="475">
        <v>7</v>
      </c>
      <c r="N3" s="475">
        <v>8</v>
      </c>
      <c r="O3" s="475">
        <v>9</v>
      </c>
      <c r="P3" s="475">
        <v>10</v>
      </c>
      <c r="Q3" s="475">
        <v>11</v>
      </c>
      <c r="R3" s="475">
        <v>12</v>
      </c>
      <c r="S3" s="475">
        <v>13</v>
      </c>
      <c r="T3" s="475">
        <v>14</v>
      </c>
      <c r="U3" s="475">
        <v>15</v>
      </c>
      <c r="V3" s="475">
        <v>16</v>
      </c>
      <c r="W3" s="475">
        <v>17</v>
      </c>
      <c r="X3" s="476" t="s">
        <v>26</v>
      </c>
    </row>
    <row r="4" spans="1:25" ht="16.5" thickBot="1" x14ac:dyDescent="0.3">
      <c r="A4" s="474" t="s">
        <v>552</v>
      </c>
      <c r="G4" s="477">
        <v>2017</v>
      </c>
      <c r="H4" s="477">
        <v>2018</v>
      </c>
      <c r="I4" s="477">
        <v>2019</v>
      </c>
      <c r="J4" s="477">
        <v>2020</v>
      </c>
      <c r="K4" s="477">
        <v>2021</v>
      </c>
      <c r="L4" s="477">
        <v>2022</v>
      </c>
      <c r="M4" s="477">
        <v>2023</v>
      </c>
      <c r="N4" s="477">
        <v>2024</v>
      </c>
      <c r="O4" s="477">
        <v>2025</v>
      </c>
      <c r="P4" s="477">
        <v>2026</v>
      </c>
      <c r="Q4" s="477">
        <v>2027</v>
      </c>
      <c r="R4" s="477">
        <v>2028</v>
      </c>
      <c r="S4" s="477">
        <v>2029</v>
      </c>
      <c r="T4" s="477">
        <v>2030</v>
      </c>
      <c r="U4" s="477">
        <v>2031</v>
      </c>
      <c r="V4" s="477">
        <v>2032</v>
      </c>
      <c r="W4" s="477">
        <v>2033</v>
      </c>
      <c r="X4" s="478"/>
    </row>
    <row r="5" spans="1:25" ht="15.75" x14ac:dyDescent="0.25">
      <c r="A5" s="474" t="s">
        <v>553</v>
      </c>
      <c r="D5" s="479">
        <v>0</v>
      </c>
      <c r="E5" s="479"/>
      <c r="G5" s="480">
        <f>1*(1+$D$5)^(G3-1)</f>
        <v>1</v>
      </c>
      <c r="H5" s="480">
        <f t="shared" ref="H5:W5" si="0">1*(1+$D$5)^(H3-1)</f>
        <v>1</v>
      </c>
      <c r="I5" s="480">
        <f t="shared" si="0"/>
        <v>1</v>
      </c>
      <c r="J5" s="480">
        <f t="shared" si="0"/>
        <v>1</v>
      </c>
      <c r="K5" s="480">
        <f t="shared" si="0"/>
        <v>1</v>
      </c>
      <c r="L5" s="480">
        <f t="shared" si="0"/>
        <v>1</v>
      </c>
      <c r="M5" s="480">
        <f t="shared" si="0"/>
        <v>1</v>
      </c>
      <c r="N5" s="480">
        <f t="shared" si="0"/>
        <v>1</v>
      </c>
      <c r="O5" s="480">
        <f t="shared" si="0"/>
        <v>1</v>
      </c>
      <c r="P5" s="480">
        <f t="shared" si="0"/>
        <v>1</v>
      </c>
      <c r="Q5" s="480">
        <f t="shared" si="0"/>
        <v>1</v>
      </c>
      <c r="R5" s="480">
        <f t="shared" si="0"/>
        <v>1</v>
      </c>
      <c r="S5" s="480">
        <f t="shared" si="0"/>
        <v>1</v>
      </c>
      <c r="T5" s="480">
        <f t="shared" si="0"/>
        <v>1</v>
      </c>
      <c r="U5" s="480">
        <f t="shared" si="0"/>
        <v>1</v>
      </c>
      <c r="V5" s="480">
        <f t="shared" si="0"/>
        <v>1</v>
      </c>
      <c r="W5" s="480">
        <f t="shared" si="0"/>
        <v>1</v>
      </c>
      <c r="X5" s="478"/>
    </row>
    <row r="6" spans="1:25" x14ac:dyDescent="0.25">
      <c r="G6" s="481"/>
      <c r="H6" s="481"/>
      <c r="I6" s="481"/>
    </row>
    <row r="7" spans="1:25" x14ac:dyDescent="0.25">
      <c r="A7" s="482" t="s">
        <v>554</v>
      </c>
      <c r="C7" s="483" t="s">
        <v>555</v>
      </c>
      <c r="D7" s="483" t="s">
        <v>556</v>
      </c>
      <c r="E7" s="484" t="s">
        <v>604</v>
      </c>
      <c r="G7" s="485" t="s">
        <v>557</v>
      </c>
      <c r="H7" s="485"/>
      <c r="I7" s="1076" t="s">
        <v>618</v>
      </c>
      <c r="J7" s="1076"/>
      <c r="K7" s="1076"/>
      <c r="L7" s="1076"/>
      <c r="M7" s="1076"/>
      <c r="N7" s="1076"/>
      <c r="O7" s="1076"/>
      <c r="P7" s="1076"/>
      <c r="Q7" s="1076"/>
      <c r="R7" s="1076"/>
      <c r="S7" s="1076"/>
      <c r="T7" s="1076"/>
      <c r="U7" s="1076"/>
      <c r="V7" s="1076"/>
      <c r="W7" s="1076"/>
    </row>
    <row r="8" spans="1:25" x14ac:dyDescent="0.25">
      <c r="A8" s="482"/>
      <c r="B8" s="474" t="s">
        <v>47</v>
      </c>
      <c r="C8" s="481">
        <f>'Lebensdauer Systemkomponenten'!E16</f>
        <v>18</v>
      </c>
      <c r="D8" s="481">
        <f>'Kosten Systemaufbau'!L8</f>
        <v>1600000</v>
      </c>
      <c r="E8" s="486">
        <v>1</v>
      </c>
      <c r="G8" s="487">
        <f>$D8*$E8/2</f>
        <v>800000</v>
      </c>
      <c r="H8" s="487">
        <f>$D8*$E8/2</f>
        <v>800000</v>
      </c>
      <c r="I8" s="488">
        <v>0</v>
      </c>
      <c r="J8" s="488">
        <f>IF(MOD((I$3-2),$C8)=0,$D8,0)</f>
        <v>0</v>
      </c>
      <c r="K8" s="488">
        <f t="shared" ref="K8:W8" si="1">IF(MOD((J$3-2),$C8)=0,$D8,0)</f>
        <v>0</v>
      </c>
      <c r="L8" s="488">
        <f t="shared" si="1"/>
        <v>0</v>
      </c>
      <c r="M8" s="488">
        <f t="shared" si="1"/>
        <v>0</v>
      </c>
      <c r="N8" s="488">
        <f t="shared" si="1"/>
        <v>0</v>
      </c>
      <c r="O8" s="488">
        <f t="shared" si="1"/>
        <v>0</v>
      </c>
      <c r="P8" s="488">
        <f t="shared" si="1"/>
        <v>0</v>
      </c>
      <c r="Q8" s="488">
        <f t="shared" si="1"/>
        <v>0</v>
      </c>
      <c r="R8" s="488">
        <f t="shared" si="1"/>
        <v>0</v>
      </c>
      <c r="S8" s="488">
        <f t="shared" si="1"/>
        <v>0</v>
      </c>
      <c r="T8" s="488">
        <f t="shared" si="1"/>
        <v>0</v>
      </c>
      <c r="U8" s="488">
        <f t="shared" si="1"/>
        <v>0</v>
      </c>
      <c r="V8" s="488">
        <f t="shared" si="1"/>
        <v>0</v>
      </c>
      <c r="W8" s="488">
        <f t="shared" si="1"/>
        <v>0</v>
      </c>
      <c r="X8" s="489">
        <f>SUM(G8:W8)</f>
        <v>1600000</v>
      </c>
      <c r="Y8" s="481"/>
    </row>
    <row r="9" spans="1:25" x14ac:dyDescent="0.25">
      <c r="A9" s="482"/>
      <c r="B9" s="474" t="s">
        <v>558</v>
      </c>
      <c r="C9" s="481">
        <f>'Lebensdauer Systemkomponenten'!E7</f>
        <v>9</v>
      </c>
      <c r="D9" s="481">
        <f>'Kosten Systemaufbau'!L9</f>
        <v>15212000</v>
      </c>
      <c r="E9" s="486">
        <v>1</v>
      </c>
      <c r="G9" s="487">
        <f t="shared" ref="G9:H22" si="2">$D9*$E9/2</f>
        <v>7606000</v>
      </c>
      <c r="H9" s="487">
        <f t="shared" si="2"/>
        <v>7606000</v>
      </c>
      <c r="I9" s="488">
        <v>0</v>
      </c>
      <c r="J9" s="488">
        <f t="shared" ref="J9:K22" si="3">IF(MOD((I$3-2),$C9)=0,$D9,0)</f>
        <v>0</v>
      </c>
      <c r="K9" s="488">
        <f t="shared" si="3"/>
        <v>0</v>
      </c>
      <c r="L9" s="488">
        <f t="shared" ref="L9:W9" si="4">IF(MOD((K$3-2),$C9)=0,$D9,0)</f>
        <v>0</v>
      </c>
      <c r="M9" s="488">
        <f t="shared" si="4"/>
        <v>0</v>
      </c>
      <c r="N9" s="488">
        <f t="shared" si="4"/>
        <v>0</v>
      </c>
      <c r="O9" s="488">
        <f t="shared" si="4"/>
        <v>0</v>
      </c>
      <c r="P9" s="488">
        <f t="shared" si="4"/>
        <v>0</v>
      </c>
      <c r="Q9" s="488">
        <f t="shared" si="4"/>
        <v>0</v>
      </c>
      <c r="R9" s="488">
        <f t="shared" si="4"/>
        <v>15212000</v>
      </c>
      <c r="S9" s="488">
        <f t="shared" si="4"/>
        <v>0</v>
      </c>
      <c r="T9" s="488">
        <f t="shared" si="4"/>
        <v>0</v>
      </c>
      <c r="U9" s="488">
        <f t="shared" si="4"/>
        <v>0</v>
      </c>
      <c r="V9" s="488">
        <f t="shared" si="4"/>
        <v>0</v>
      </c>
      <c r="W9" s="488">
        <f t="shared" si="4"/>
        <v>0</v>
      </c>
      <c r="X9" s="489">
        <f t="shared" ref="X9:X22" si="5">SUM(G9:W9)</f>
        <v>30424000</v>
      </c>
      <c r="Y9" s="481"/>
    </row>
    <row r="10" spans="1:25" x14ac:dyDescent="0.25">
      <c r="A10" s="482"/>
      <c r="B10" s="474" t="s">
        <v>559</v>
      </c>
      <c r="C10" s="481">
        <f>'Lebensdauer Systemkomponenten'!E8</f>
        <v>9</v>
      </c>
      <c r="D10" s="481">
        <f>'Kosten Systemaufbau'!L10</f>
        <v>37963800</v>
      </c>
      <c r="E10" s="486">
        <v>1</v>
      </c>
      <c r="G10" s="487">
        <f t="shared" si="2"/>
        <v>18981900</v>
      </c>
      <c r="H10" s="487">
        <f t="shared" si="2"/>
        <v>18981900</v>
      </c>
      <c r="I10" s="488">
        <v>0</v>
      </c>
      <c r="J10" s="488">
        <f t="shared" si="3"/>
        <v>0</v>
      </c>
      <c r="K10" s="488">
        <f t="shared" si="3"/>
        <v>0</v>
      </c>
      <c r="L10" s="488">
        <f t="shared" ref="L10:W10" si="6">IF(MOD((K$3-2),$C10)=0,$D10,0)</f>
        <v>0</v>
      </c>
      <c r="M10" s="488">
        <f t="shared" si="6"/>
        <v>0</v>
      </c>
      <c r="N10" s="488">
        <f t="shared" si="6"/>
        <v>0</v>
      </c>
      <c r="O10" s="488">
        <f t="shared" si="6"/>
        <v>0</v>
      </c>
      <c r="P10" s="488">
        <f t="shared" si="6"/>
        <v>0</v>
      </c>
      <c r="Q10" s="488">
        <f t="shared" si="6"/>
        <v>0</v>
      </c>
      <c r="R10" s="488">
        <f t="shared" si="6"/>
        <v>37963800</v>
      </c>
      <c r="S10" s="488">
        <f t="shared" si="6"/>
        <v>0</v>
      </c>
      <c r="T10" s="488">
        <f t="shared" si="6"/>
        <v>0</v>
      </c>
      <c r="U10" s="488">
        <f t="shared" si="6"/>
        <v>0</v>
      </c>
      <c r="V10" s="488">
        <f t="shared" si="6"/>
        <v>0</v>
      </c>
      <c r="W10" s="488">
        <f t="shared" si="6"/>
        <v>0</v>
      </c>
      <c r="X10" s="489">
        <f t="shared" si="5"/>
        <v>75927600</v>
      </c>
      <c r="Y10" s="481"/>
    </row>
    <row r="11" spans="1:25" x14ac:dyDescent="0.25">
      <c r="A11" s="482"/>
      <c r="B11" s="474" t="s">
        <v>560</v>
      </c>
      <c r="C11" s="481">
        <f>'Lebensdauer Systemkomponenten'!E9</f>
        <v>9</v>
      </c>
      <c r="D11" s="481">
        <f>'Kosten Systemaufbau'!L11</f>
        <v>0</v>
      </c>
      <c r="E11" s="486">
        <v>1</v>
      </c>
      <c r="G11" s="487">
        <f t="shared" si="2"/>
        <v>0</v>
      </c>
      <c r="H11" s="487">
        <f t="shared" si="2"/>
        <v>0</v>
      </c>
      <c r="I11" s="488">
        <v>0</v>
      </c>
      <c r="J11" s="488">
        <f t="shared" si="3"/>
        <v>0</v>
      </c>
      <c r="K11" s="488">
        <f t="shared" si="3"/>
        <v>0</v>
      </c>
      <c r="L11" s="488">
        <f t="shared" ref="L11:W11" si="7">IF(MOD((K$3-2),$C11)=0,$D11,0)</f>
        <v>0</v>
      </c>
      <c r="M11" s="488">
        <f t="shared" si="7"/>
        <v>0</v>
      </c>
      <c r="N11" s="488">
        <f t="shared" si="7"/>
        <v>0</v>
      </c>
      <c r="O11" s="488">
        <f t="shared" si="7"/>
        <v>0</v>
      </c>
      <c r="P11" s="488">
        <f t="shared" si="7"/>
        <v>0</v>
      </c>
      <c r="Q11" s="488">
        <f t="shared" si="7"/>
        <v>0</v>
      </c>
      <c r="R11" s="488">
        <f t="shared" si="7"/>
        <v>0</v>
      </c>
      <c r="S11" s="488">
        <f t="shared" si="7"/>
        <v>0</v>
      </c>
      <c r="T11" s="488">
        <f t="shared" si="7"/>
        <v>0</v>
      </c>
      <c r="U11" s="488">
        <f t="shared" si="7"/>
        <v>0</v>
      </c>
      <c r="V11" s="488">
        <f t="shared" si="7"/>
        <v>0</v>
      </c>
      <c r="W11" s="488">
        <f t="shared" si="7"/>
        <v>0</v>
      </c>
      <c r="X11" s="489">
        <f t="shared" si="5"/>
        <v>0</v>
      </c>
      <c r="Y11" s="481"/>
    </row>
    <row r="12" spans="1:25" x14ac:dyDescent="0.25">
      <c r="A12" s="482"/>
      <c r="B12" s="474" t="s">
        <v>45</v>
      </c>
      <c r="C12" s="481">
        <f>'Lebensdauer Systemkomponenten'!E10</f>
        <v>5</v>
      </c>
      <c r="D12" s="481">
        <f>'Kosten Systemaufbau'!L12</f>
        <v>1569000</v>
      </c>
      <c r="E12" s="486">
        <v>1</v>
      </c>
      <c r="G12" s="487">
        <f t="shared" si="2"/>
        <v>784500</v>
      </c>
      <c r="H12" s="487">
        <f t="shared" si="2"/>
        <v>784500</v>
      </c>
      <c r="I12" s="488">
        <v>0</v>
      </c>
      <c r="J12" s="488">
        <f t="shared" si="3"/>
        <v>0</v>
      </c>
      <c r="K12" s="488">
        <f t="shared" si="3"/>
        <v>0</v>
      </c>
      <c r="L12" s="488">
        <f t="shared" ref="L12:W12" si="8">IF(MOD((K$3-2),$C12)=0,$D12,0)</f>
        <v>0</v>
      </c>
      <c r="M12" s="488">
        <f t="shared" si="8"/>
        <v>0</v>
      </c>
      <c r="N12" s="488">
        <f t="shared" si="8"/>
        <v>1569000</v>
      </c>
      <c r="O12" s="488">
        <f t="shared" si="8"/>
        <v>0</v>
      </c>
      <c r="P12" s="488">
        <f t="shared" si="8"/>
        <v>0</v>
      </c>
      <c r="Q12" s="488">
        <f t="shared" si="8"/>
        <v>0</v>
      </c>
      <c r="R12" s="488">
        <f t="shared" si="8"/>
        <v>0</v>
      </c>
      <c r="S12" s="488">
        <f t="shared" si="8"/>
        <v>1569000</v>
      </c>
      <c r="T12" s="488">
        <f t="shared" si="8"/>
        <v>0</v>
      </c>
      <c r="U12" s="488">
        <f t="shared" si="8"/>
        <v>0</v>
      </c>
      <c r="V12" s="488">
        <f t="shared" si="8"/>
        <v>0</v>
      </c>
      <c r="W12" s="488">
        <f t="shared" si="8"/>
        <v>0</v>
      </c>
      <c r="X12" s="489">
        <f t="shared" si="5"/>
        <v>4707000</v>
      </c>
      <c r="Y12" s="481"/>
    </row>
    <row r="13" spans="1:25" x14ac:dyDescent="0.25">
      <c r="A13" s="482"/>
      <c r="B13" s="474" t="s">
        <v>561</v>
      </c>
      <c r="C13" s="481">
        <f>'Lebensdauer Systemkomponenten'!E11</f>
        <v>3</v>
      </c>
      <c r="D13" s="481">
        <f>'Kosten Systemaufbau'!L13</f>
        <v>0</v>
      </c>
      <c r="E13" s="486">
        <v>1</v>
      </c>
      <c r="G13" s="487">
        <f t="shared" si="2"/>
        <v>0</v>
      </c>
      <c r="H13" s="487">
        <f t="shared" si="2"/>
        <v>0</v>
      </c>
      <c r="I13" s="488">
        <v>0</v>
      </c>
      <c r="J13" s="488">
        <f t="shared" si="3"/>
        <v>0</v>
      </c>
      <c r="K13" s="488">
        <f t="shared" si="3"/>
        <v>0</v>
      </c>
      <c r="L13" s="488">
        <f t="shared" ref="L13:W13" si="9">IF(MOD((K$3-2),$C13)=0,$D13,0)</f>
        <v>0</v>
      </c>
      <c r="M13" s="488">
        <f t="shared" si="9"/>
        <v>0</v>
      </c>
      <c r="N13" s="488">
        <f t="shared" si="9"/>
        <v>0</v>
      </c>
      <c r="O13" s="488">
        <f t="shared" si="9"/>
        <v>0</v>
      </c>
      <c r="P13" s="488">
        <f t="shared" si="9"/>
        <v>0</v>
      </c>
      <c r="Q13" s="488">
        <f t="shared" si="9"/>
        <v>0</v>
      </c>
      <c r="R13" s="488">
        <f t="shared" si="9"/>
        <v>0</v>
      </c>
      <c r="S13" s="488">
        <f t="shared" si="9"/>
        <v>0</v>
      </c>
      <c r="T13" s="488">
        <f t="shared" si="9"/>
        <v>0</v>
      </c>
      <c r="U13" s="488">
        <f t="shared" si="9"/>
        <v>0</v>
      </c>
      <c r="V13" s="488">
        <f t="shared" si="9"/>
        <v>0</v>
      </c>
      <c r="W13" s="488">
        <f t="shared" si="9"/>
        <v>0</v>
      </c>
      <c r="X13" s="489">
        <f t="shared" si="5"/>
        <v>0</v>
      </c>
      <c r="Y13" s="481"/>
    </row>
    <row r="14" spans="1:25" x14ac:dyDescent="0.25">
      <c r="A14" s="482"/>
      <c r="B14" s="474" t="s">
        <v>46</v>
      </c>
      <c r="C14" s="481">
        <f>'Lebensdauer Systemkomponenten'!E12</f>
        <v>15</v>
      </c>
      <c r="D14" s="481">
        <f>'Kosten Systemaufbau'!L14</f>
        <v>42225500</v>
      </c>
      <c r="E14" s="486">
        <v>1</v>
      </c>
      <c r="G14" s="487">
        <f t="shared" si="2"/>
        <v>21112750</v>
      </c>
      <c r="H14" s="487">
        <f t="shared" si="2"/>
        <v>21112750</v>
      </c>
      <c r="I14" s="488">
        <v>0</v>
      </c>
      <c r="J14" s="488">
        <f t="shared" si="3"/>
        <v>0</v>
      </c>
      <c r="K14" s="488">
        <f t="shared" si="3"/>
        <v>0</v>
      </c>
      <c r="L14" s="488">
        <f t="shared" ref="L14:W14" si="10">IF(MOD((K$3-2),$C14)=0,$D14,0)</f>
        <v>0</v>
      </c>
      <c r="M14" s="488">
        <f t="shared" si="10"/>
        <v>0</v>
      </c>
      <c r="N14" s="488">
        <f t="shared" si="10"/>
        <v>0</v>
      </c>
      <c r="O14" s="488">
        <f t="shared" si="10"/>
        <v>0</v>
      </c>
      <c r="P14" s="488">
        <f t="shared" si="10"/>
        <v>0</v>
      </c>
      <c r="Q14" s="488">
        <f t="shared" si="10"/>
        <v>0</v>
      </c>
      <c r="R14" s="488">
        <f t="shared" si="10"/>
        <v>0</v>
      </c>
      <c r="S14" s="488">
        <f t="shared" si="10"/>
        <v>0</v>
      </c>
      <c r="T14" s="488">
        <f t="shared" si="10"/>
        <v>0</v>
      </c>
      <c r="U14" s="488">
        <f t="shared" si="10"/>
        <v>0</v>
      </c>
      <c r="V14" s="488">
        <f t="shared" si="10"/>
        <v>0</v>
      </c>
      <c r="W14" s="488">
        <f t="shared" si="10"/>
        <v>0</v>
      </c>
      <c r="X14" s="489">
        <f t="shared" si="5"/>
        <v>42225500</v>
      </c>
      <c r="Y14" s="481"/>
    </row>
    <row r="15" spans="1:25" x14ac:dyDescent="0.25">
      <c r="A15" s="482"/>
      <c r="B15" s="474" t="s">
        <v>562</v>
      </c>
      <c r="C15" s="481">
        <f>'Lebensdauer Systemkomponenten'!E13</f>
        <v>15</v>
      </c>
      <c r="D15" s="481">
        <f>'Kosten Systemaufbau'!L15</f>
        <v>6000000</v>
      </c>
      <c r="E15" s="486">
        <v>1</v>
      </c>
      <c r="G15" s="487">
        <f t="shared" si="2"/>
        <v>3000000</v>
      </c>
      <c r="H15" s="487">
        <f t="shared" si="2"/>
        <v>3000000</v>
      </c>
      <c r="I15" s="488">
        <v>0</v>
      </c>
      <c r="J15" s="488">
        <f t="shared" si="3"/>
        <v>0</v>
      </c>
      <c r="K15" s="488">
        <f t="shared" si="3"/>
        <v>0</v>
      </c>
      <c r="L15" s="488">
        <f t="shared" ref="L15:W15" si="11">IF(MOD((K$3-2),$C15)=0,$D15,0)</f>
        <v>0</v>
      </c>
      <c r="M15" s="488">
        <f t="shared" si="11"/>
        <v>0</v>
      </c>
      <c r="N15" s="488">
        <f t="shared" si="11"/>
        <v>0</v>
      </c>
      <c r="O15" s="488">
        <f t="shared" si="11"/>
        <v>0</v>
      </c>
      <c r="P15" s="488">
        <f t="shared" si="11"/>
        <v>0</v>
      </c>
      <c r="Q15" s="488">
        <f t="shared" si="11"/>
        <v>0</v>
      </c>
      <c r="R15" s="488">
        <f t="shared" si="11"/>
        <v>0</v>
      </c>
      <c r="S15" s="488">
        <f t="shared" si="11"/>
        <v>0</v>
      </c>
      <c r="T15" s="488">
        <f t="shared" si="11"/>
        <v>0</v>
      </c>
      <c r="U15" s="488">
        <f t="shared" si="11"/>
        <v>0</v>
      </c>
      <c r="V15" s="488">
        <f t="shared" si="11"/>
        <v>0</v>
      </c>
      <c r="W15" s="488">
        <f t="shared" si="11"/>
        <v>0</v>
      </c>
      <c r="X15" s="489">
        <f t="shared" si="5"/>
        <v>6000000</v>
      </c>
      <c r="Y15" s="481"/>
    </row>
    <row r="16" spans="1:25" x14ac:dyDescent="0.25">
      <c r="A16" s="482"/>
      <c r="B16" s="474" t="s">
        <v>314</v>
      </c>
      <c r="C16" s="481">
        <f>'Lebensdauer Systemkomponenten'!E14</f>
        <v>9</v>
      </c>
      <c r="D16" s="481">
        <f>'Kosten Systemaufbau'!L16</f>
        <v>6870000</v>
      </c>
      <c r="E16" s="486">
        <v>1</v>
      </c>
      <c r="G16" s="487">
        <f t="shared" si="2"/>
        <v>3435000</v>
      </c>
      <c r="H16" s="487">
        <f t="shared" si="2"/>
        <v>3435000</v>
      </c>
      <c r="I16" s="488">
        <v>0</v>
      </c>
      <c r="J16" s="488">
        <f t="shared" si="3"/>
        <v>0</v>
      </c>
      <c r="K16" s="488">
        <f t="shared" si="3"/>
        <v>0</v>
      </c>
      <c r="L16" s="488">
        <f t="shared" ref="L16:W16" si="12">IF(MOD((K$3-2),$C16)=0,$D16,0)</f>
        <v>0</v>
      </c>
      <c r="M16" s="488">
        <f t="shared" si="12"/>
        <v>0</v>
      </c>
      <c r="N16" s="488">
        <f t="shared" si="12"/>
        <v>0</v>
      </c>
      <c r="O16" s="488">
        <f t="shared" si="12"/>
        <v>0</v>
      </c>
      <c r="P16" s="488">
        <f t="shared" si="12"/>
        <v>0</v>
      </c>
      <c r="Q16" s="488">
        <f t="shared" si="12"/>
        <v>0</v>
      </c>
      <c r="R16" s="488">
        <f t="shared" si="12"/>
        <v>6870000</v>
      </c>
      <c r="S16" s="488">
        <f t="shared" si="12"/>
        <v>0</v>
      </c>
      <c r="T16" s="488">
        <f t="shared" si="12"/>
        <v>0</v>
      </c>
      <c r="U16" s="488">
        <f t="shared" si="12"/>
        <v>0</v>
      </c>
      <c r="V16" s="488">
        <f t="shared" si="12"/>
        <v>0</v>
      </c>
      <c r="W16" s="488">
        <f t="shared" si="12"/>
        <v>0</v>
      </c>
      <c r="X16" s="489">
        <f t="shared" si="5"/>
        <v>13740000</v>
      </c>
      <c r="Y16" s="481"/>
    </row>
    <row r="17" spans="1:25" x14ac:dyDescent="0.25">
      <c r="A17" s="482"/>
      <c r="B17" s="474" t="s">
        <v>587</v>
      </c>
      <c r="C17" s="481">
        <f>'Lebensdauer Systemkomponenten'!E15</f>
        <v>9</v>
      </c>
      <c r="D17" s="481">
        <f>'Kosten Systemaufbau'!L17</f>
        <v>16969500</v>
      </c>
      <c r="E17" s="486">
        <v>1</v>
      </c>
      <c r="G17" s="487">
        <f t="shared" si="2"/>
        <v>8484750</v>
      </c>
      <c r="H17" s="487">
        <f t="shared" si="2"/>
        <v>8484750</v>
      </c>
      <c r="I17" s="488">
        <v>0</v>
      </c>
      <c r="J17" s="488">
        <f t="shared" si="3"/>
        <v>0</v>
      </c>
      <c r="K17" s="488">
        <f t="shared" si="3"/>
        <v>0</v>
      </c>
      <c r="L17" s="488">
        <f t="shared" ref="L17:W17" si="13">IF(MOD((K$3-2),$C17)=0,$D17,0)</f>
        <v>0</v>
      </c>
      <c r="M17" s="488">
        <f t="shared" si="13"/>
        <v>0</v>
      </c>
      <c r="N17" s="488">
        <f t="shared" si="13"/>
        <v>0</v>
      </c>
      <c r="O17" s="488">
        <f t="shared" si="13"/>
        <v>0</v>
      </c>
      <c r="P17" s="488">
        <f t="shared" si="13"/>
        <v>0</v>
      </c>
      <c r="Q17" s="488">
        <f t="shared" si="13"/>
        <v>0</v>
      </c>
      <c r="R17" s="488">
        <f t="shared" si="13"/>
        <v>16969500</v>
      </c>
      <c r="S17" s="488">
        <f t="shared" si="13"/>
        <v>0</v>
      </c>
      <c r="T17" s="488">
        <f t="shared" si="13"/>
        <v>0</v>
      </c>
      <c r="U17" s="488">
        <f t="shared" si="13"/>
        <v>0</v>
      </c>
      <c r="V17" s="488">
        <f t="shared" si="13"/>
        <v>0</v>
      </c>
      <c r="W17" s="488">
        <f t="shared" si="13"/>
        <v>0</v>
      </c>
      <c r="X17" s="489">
        <f t="shared" si="5"/>
        <v>33939000</v>
      </c>
      <c r="Y17" s="481"/>
    </row>
    <row r="18" spans="1:25" x14ac:dyDescent="0.25">
      <c r="A18" s="482"/>
      <c r="B18" s="474" t="s">
        <v>563</v>
      </c>
      <c r="C18" s="481">
        <f>'Lebensdauer Systemkomponenten'!E17</f>
        <v>3</v>
      </c>
      <c r="D18" s="481">
        <f>'Kosten Systemaufbau'!L18</f>
        <v>338750</v>
      </c>
      <c r="E18" s="486">
        <v>1</v>
      </c>
      <c r="G18" s="487">
        <f t="shared" si="2"/>
        <v>169375</v>
      </c>
      <c r="H18" s="487">
        <f t="shared" si="2"/>
        <v>169375</v>
      </c>
      <c r="I18" s="488">
        <v>0</v>
      </c>
      <c r="J18" s="488">
        <f t="shared" si="3"/>
        <v>0</v>
      </c>
      <c r="K18" s="488">
        <f t="shared" si="3"/>
        <v>0</v>
      </c>
      <c r="L18" s="488">
        <f t="shared" ref="L18:W18" si="14">IF(MOD((K$3-2),$C18)=0,$D18,0)</f>
        <v>338750</v>
      </c>
      <c r="M18" s="488">
        <f t="shared" si="14"/>
        <v>0</v>
      </c>
      <c r="N18" s="488">
        <f t="shared" si="14"/>
        <v>0</v>
      </c>
      <c r="O18" s="488">
        <f t="shared" si="14"/>
        <v>338750</v>
      </c>
      <c r="P18" s="488">
        <f t="shared" si="14"/>
        <v>0</v>
      </c>
      <c r="Q18" s="488">
        <f t="shared" si="14"/>
        <v>0</v>
      </c>
      <c r="R18" s="488">
        <f t="shared" si="14"/>
        <v>338750</v>
      </c>
      <c r="S18" s="488">
        <f t="shared" si="14"/>
        <v>0</v>
      </c>
      <c r="T18" s="488">
        <f t="shared" si="14"/>
        <v>0</v>
      </c>
      <c r="U18" s="488">
        <f t="shared" si="14"/>
        <v>338750</v>
      </c>
      <c r="V18" s="488">
        <f t="shared" si="14"/>
        <v>0</v>
      </c>
      <c r="W18" s="488">
        <f t="shared" si="14"/>
        <v>0</v>
      </c>
      <c r="X18" s="489">
        <f t="shared" si="5"/>
        <v>1693750</v>
      </c>
      <c r="Y18" s="481"/>
    </row>
    <row r="19" spans="1:25" x14ac:dyDescent="0.25">
      <c r="A19" s="482"/>
      <c r="B19" s="474" t="s">
        <v>564</v>
      </c>
      <c r="C19" s="481">
        <f>'Lebensdauer Systemkomponenten'!E18</f>
        <v>3</v>
      </c>
      <c r="D19" s="481">
        <f>'Kosten Systemaufbau'!L19</f>
        <v>962250</v>
      </c>
      <c r="E19" s="486">
        <v>1</v>
      </c>
      <c r="G19" s="487">
        <f t="shared" si="2"/>
        <v>481125</v>
      </c>
      <c r="H19" s="487">
        <f t="shared" si="2"/>
        <v>481125</v>
      </c>
      <c r="I19" s="488">
        <v>0</v>
      </c>
      <c r="J19" s="488">
        <f t="shared" si="3"/>
        <v>0</v>
      </c>
      <c r="K19" s="488">
        <f t="shared" si="3"/>
        <v>0</v>
      </c>
      <c r="L19" s="488">
        <f t="shared" ref="L19:W19" si="15">IF(MOD((K$3-2),$C19)=0,$D19,0)</f>
        <v>962250</v>
      </c>
      <c r="M19" s="488">
        <f t="shared" si="15"/>
        <v>0</v>
      </c>
      <c r="N19" s="488">
        <f t="shared" si="15"/>
        <v>0</v>
      </c>
      <c r="O19" s="488">
        <f t="shared" si="15"/>
        <v>962250</v>
      </c>
      <c r="P19" s="488">
        <f t="shared" si="15"/>
        <v>0</v>
      </c>
      <c r="Q19" s="488">
        <f t="shared" si="15"/>
        <v>0</v>
      </c>
      <c r="R19" s="488">
        <f t="shared" si="15"/>
        <v>962250</v>
      </c>
      <c r="S19" s="488">
        <f t="shared" si="15"/>
        <v>0</v>
      </c>
      <c r="T19" s="488">
        <f t="shared" si="15"/>
        <v>0</v>
      </c>
      <c r="U19" s="488">
        <f t="shared" si="15"/>
        <v>962250</v>
      </c>
      <c r="V19" s="488">
        <f t="shared" si="15"/>
        <v>0</v>
      </c>
      <c r="W19" s="488">
        <f t="shared" si="15"/>
        <v>0</v>
      </c>
      <c r="X19" s="489">
        <f t="shared" si="5"/>
        <v>4811250</v>
      </c>
      <c r="Y19" s="481"/>
    </row>
    <row r="20" spans="1:25" x14ac:dyDescent="0.25">
      <c r="A20" s="482"/>
      <c r="B20" s="474" t="s">
        <v>419</v>
      </c>
      <c r="C20" s="481">
        <f>'Lebensdauer Systemkomponenten'!E19</f>
        <v>5</v>
      </c>
      <c r="D20" s="481">
        <f>'Kosten Systemaufbau'!L20</f>
        <v>996025</v>
      </c>
      <c r="E20" s="486">
        <v>1</v>
      </c>
      <c r="G20" s="487">
        <f t="shared" si="2"/>
        <v>498012.5</v>
      </c>
      <c r="H20" s="487">
        <f t="shared" si="2"/>
        <v>498012.5</v>
      </c>
      <c r="I20" s="488">
        <v>0</v>
      </c>
      <c r="J20" s="488">
        <f t="shared" si="3"/>
        <v>0</v>
      </c>
      <c r="K20" s="488">
        <f t="shared" si="3"/>
        <v>0</v>
      </c>
      <c r="L20" s="488">
        <f t="shared" ref="L20:W20" si="16">IF(MOD((K$3-2),$C20)=0,$D20,0)</f>
        <v>0</v>
      </c>
      <c r="M20" s="488">
        <f t="shared" si="16"/>
        <v>0</v>
      </c>
      <c r="N20" s="488">
        <f t="shared" si="16"/>
        <v>996025</v>
      </c>
      <c r="O20" s="488">
        <f t="shared" si="16"/>
        <v>0</v>
      </c>
      <c r="P20" s="488">
        <f t="shared" si="16"/>
        <v>0</v>
      </c>
      <c r="Q20" s="488">
        <f t="shared" si="16"/>
        <v>0</v>
      </c>
      <c r="R20" s="488">
        <f t="shared" si="16"/>
        <v>0</v>
      </c>
      <c r="S20" s="488">
        <f t="shared" si="16"/>
        <v>996025</v>
      </c>
      <c r="T20" s="488">
        <f t="shared" si="16"/>
        <v>0</v>
      </c>
      <c r="U20" s="488">
        <f t="shared" si="16"/>
        <v>0</v>
      </c>
      <c r="V20" s="488">
        <f t="shared" si="16"/>
        <v>0</v>
      </c>
      <c r="W20" s="488">
        <f t="shared" si="16"/>
        <v>0</v>
      </c>
      <c r="X20" s="489">
        <f t="shared" si="5"/>
        <v>2988075</v>
      </c>
      <c r="Y20" s="481"/>
    </row>
    <row r="21" spans="1:25" x14ac:dyDescent="0.25">
      <c r="A21" s="482"/>
      <c r="B21" s="474" t="s">
        <v>324</v>
      </c>
      <c r="C21" s="490">
        <v>100</v>
      </c>
      <c r="D21" s="481">
        <f>'Kosten Systemaufbau'!L21</f>
        <v>9930000</v>
      </c>
      <c r="E21" s="486">
        <v>1</v>
      </c>
      <c r="G21" s="487">
        <f t="shared" si="2"/>
        <v>4965000</v>
      </c>
      <c r="H21" s="487">
        <f t="shared" si="2"/>
        <v>4965000</v>
      </c>
      <c r="I21" s="488">
        <v>0</v>
      </c>
      <c r="J21" s="488">
        <f t="shared" si="3"/>
        <v>0</v>
      </c>
      <c r="K21" s="488">
        <f t="shared" si="3"/>
        <v>0</v>
      </c>
      <c r="L21" s="488">
        <f t="shared" ref="L21:W21" si="17">IF(MOD((K$3-2),$C21)=0,$D21,0)</f>
        <v>0</v>
      </c>
      <c r="M21" s="488">
        <f t="shared" si="17"/>
        <v>0</v>
      </c>
      <c r="N21" s="488">
        <f t="shared" si="17"/>
        <v>0</v>
      </c>
      <c r="O21" s="488">
        <f t="shared" si="17"/>
        <v>0</v>
      </c>
      <c r="P21" s="488">
        <f t="shared" si="17"/>
        <v>0</v>
      </c>
      <c r="Q21" s="488">
        <f t="shared" si="17"/>
        <v>0</v>
      </c>
      <c r="R21" s="488">
        <f t="shared" si="17"/>
        <v>0</v>
      </c>
      <c r="S21" s="488">
        <f t="shared" si="17"/>
        <v>0</v>
      </c>
      <c r="T21" s="488">
        <f t="shared" si="17"/>
        <v>0</v>
      </c>
      <c r="U21" s="488">
        <f t="shared" si="17"/>
        <v>0</v>
      </c>
      <c r="V21" s="488">
        <f t="shared" si="17"/>
        <v>0</v>
      </c>
      <c r="W21" s="488">
        <f t="shared" si="17"/>
        <v>0</v>
      </c>
      <c r="X21" s="489">
        <f t="shared" si="5"/>
        <v>9930000</v>
      </c>
      <c r="Y21" s="481"/>
    </row>
    <row r="22" spans="1:25" x14ac:dyDescent="0.25">
      <c r="A22" s="482"/>
      <c r="B22" s="474" t="s">
        <v>565</v>
      </c>
      <c r="C22" s="490">
        <v>100</v>
      </c>
      <c r="D22" s="481">
        <f>'Kosten Systemaufbau'!L22</f>
        <v>9840000</v>
      </c>
      <c r="E22" s="486">
        <v>1</v>
      </c>
      <c r="G22" s="487">
        <f t="shared" si="2"/>
        <v>4920000</v>
      </c>
      <c r="H22" s="487">
        <f t="shared" si="2"/>
        <v>4920000</v>
      </c>
      <c r="I22" s="488">
        <v>0</v>
      </c>
      <c r="J22" s="488">
        <f t="shared" si="3"/>
        <v>0</v>
      </c>
      <c r="K22" s="488">
        <f t="shared" si="3"/>
        <v>0</v>
      </c>
      <c r="L22" s="488">
        <f t="shared" ref="L22:W22" si="18">IF(MOD((K$3-2),$C22)=0,$D22,0)</f>
        <v>0</v>
      </c>
      <c r="M22" s="488">
        <f t="shared" si="18"/>
        <v>0</v>
      </c>
      <c r="N22" s="488">
        <f t="shared" si="18"/>
        <v>0</v>
      </c>
      <c r="O22" s="488">
        <f t="shared" si="18"/>
        <v>0</v>
      </c>
      <c r="P22" s="488">
        <f t="shared" si="18"/>
        <v>0</v>
      </c>
      <c r="Q22" s="488">
        <f t="shared" si="18"/>
        <v>0</v>
      </c>
      <c r="R22" s="488">
        <f t="shared" si="18"/>
        <v>0</v>
      </c>
      <c r="S22" s="488">
        <f t="shared" si="18"/>
        <v>0</v>
      </c>
      <c r="T22" s="488">
        <f t="shared" si="18"/>
        <v>0</v>
      </c>
      <c r="U22" s="488">
        <f t="shared" si="18"/>
        <v>0</v>
      </c>
      <c r="V22" s="488">
        <f t="shared" si="18"/>
        <v>0</v>
      </c>
      <c r="W22" s="488">
        <f t="shared" si="18"/>
        <v>0</v>
      </c>
      <c r="X22" s="489">
        <f t="shared" si="5"/>
        <v>9840000</v>
      </c>
      <c r="Y22" s="481"/>
    </row>
    <row r="23" spans="1:25" x14ac:dyDescent="0.25">
      <c r="A23" s="482"/>
      <c r="G23" s="481"/>
      <c r="H23" s="481"/>
      <c r="I23" s="481"/>
      <c r="J23" s="481"/>
      <c r="K23" s="481"/>
      <c r="L23" s="481"/>
      <c r="M23" s="481"/>
      <c r="N23" s="481"/>
      <c r="O23" s="481"/>
      <c r="P23" s="481"/>
      <c r="Q23" s="481"/>
      <c r="R23" s="481"/>
      <c r="S23" s="481"/>
      <c r="T23" s="481"/>
      <c r="U23" s="481"/>
      <c r="V23" s="481"/>
      <c r="W23" s="481"/>
      <c r="X23" s="489"/>
      <c r="Y23" s="481"/>
    </row>
    <row r="24" spans="1:25" s="482" customFormat="1" x14ac:dyDescent="0.25">
      <c r="A24" s="491" t="s">
        <v>566</v>
      </c>
      <c r="B24" s="491"/>
      <c r="C24" s="491"/>
      <c r="D24" s="492">
        <f>SUM(D8:D23)</f>
        <v>150476825</v>
      </c>
      <c r="E24" s="491"/>
      <c r="F24" s="491"/>
      <c r="G24" s="492">
        <f>SUM(G8:G23)</f>
        <v>75238412.5</v>
      </c>
      <c r="H24" s="492">
        <f t="shared" ref="H24:W24" si="19">SUM(H8:H23)</f>
        <v>75238412.5</v>
      </c>
      <c r="I24" s="492">
        <f t="shared" si="19"/>
        <v>0</v>
      </c>
      <c r="J24" s="492">
        <f t="shared" si="19"/>
        <v>0</v>
      </c>
      <c r="K24" s="492">
        <f t="shared" si="19"/>
        <v>0</v>
      </c>
      <c r="L24" s="492">
        <f t="shared" si="19"/>
        <v>1301000</v>
      </c>
      <c r="M24" s="492">
        <f t="shared" si="19"/>
        <v>0</v>
      </c>
      <c r="N24" s="492">
        <f t="shared" si="19"/>
        <v>2565025</v>
      </c>
      <c r="O24" s="492">
        <f t="shared" si="19"/>
        <v>1301000</v>
      </c>
      <c r="P24" s="492">
        <f t="shared" si="19"/>
        <v>0</v>
      </c>
      <c r="Q24" s="492">
        <f t="shared" si="19"/>
        <v>0</v>
      </c>
      <c r="R24" s="492">
        <f t="shared" si="19"/>
        <v>78316300</v>
      </c>
      <c r="S24" s="492">
        <f t="shared" si="19"/>
        <v>2565025</v>
      </c>
      <c r="T24" s="492">
        <f t="shared" si="19"/>
        <v>0</v>
      </c>
      <c r="U24" s="492">
        <f t="shared" si="19"/>
        <v>1301000</v>
      </c>
      <c r="V24" s="492">
        <f t="shared" si="19"/>
        <v>0</v>
      </c>
      <c r="W24" s="492">
        <f t="shared" si="19"/>
        <v>0</v>
      </c>
      <c r="X24" s="492">
        <f>SUM(G24:W24)</f>
        <v>237826175</v>
      </c>
      <c r="Y24" s="481"/>
    </row>
    <row r="25" spans="1:25" x14ac:dyDescent="0.25">
      <c r="A25" s="482"/>
      <c r="G25" s="481"/>
      <c r="H25" s="481"/>
      <c r="I25" s="481"/>
      <c r="J25" s="481"/>
      <c r="K25" s="481"/>
      <c r="L25" s="481"/>
      <c r="M25" s="481"/>
      <c r="N25" s="481"/>
      <c r="O25" s="481"/>
      <c r="P25" s="481"/>
      <c r="Q25" s="481"/>
      <c r="R25" s="481"/>
      <c r="S25" s="481"/>
      <c r="T25" s="481"/>
      <c r="U25" s="481"/>
      <c r="V25" s="481"/>
      <c r="W25" s="481"/>
    </row>
    <row r="26" spans="1:25" s="482" customFormat="1" x14ac:dyDescent="0.25">
      <c r="A26" s="491" t="s">
        <v>567</v>
      </c>
      <c r="B26" s="491"/>
      <c r="C26" s="491"/>
      <c r="D26" s="491"/>
      <c r="E26" s="491"/>
      <c r="F26" s="491"/>
      <c r="G26" s="493">
        <f>G24+H24</f>
        <v>150476825</v>
      </c>
      <c r="H26" s="493"/>
      <c r="I26" s="494">
        <f>SUM(I24:W24)</f>
        <v>87349350</v>
      </c>
      <c r="J26" s="493"/>
      <c r="K26" s="492"/>
      <c r="L26" s="492"/>
      <c r="M26" s="492"/>
      <c r="N26" s="492"/>
      <c r="O26" s="493"/>
      <c r="P26" s="492"/>
      <c r="Q26" s="494"/>
      <c r="R26" s="492"/>
      <c r="S26" s="492"/>
      <c r="T26" s="492"/>
      <c r="U26" s="492"/>
      <c r="V26" s="492"/>
      <c r="W26" s="492"/>
      <c r="X26" s="492">
        <f>SUM(G26:W26)</f>
        <v>237826175</v>
      </c>
    </row>
    <row r="27" spans="1:25" x14ac:dyDescent="0.25">
      <c r="G27" s="481"/>
      <c r="H27" s="481"/>
      <c r="I27" s="481"/>
      <c r="J27" s="481"/>
      <c r="K27" s="481"/>
      <c r="L27" s="481"/>
      <c r="M27" s="481"/>
      <c r="N27" s="481"/>
      <c r="O27" s="481"/>
      <c r="P27" s="481"/>
      <c r="Q27" s="481"/>
      <c r="R27" s="481"/>
      <c r="S27" s="481"/>
      <c r="T27" s="481"/>
      <c r="U27" s="481"/>
      <c r="V27" s="481"/>
      <c r="W27" s="481"/>
    </row>
    <row r="28" spans="1:25" x14ac:dyDescent="0.25">
      <c r="G28" s="481"/>
      <c r="H28" s="481"/>
      <c r="I28" s="495"/>
      <c r="J28" s="495"/>
      <c r="K28" s="495"/>
      <c r="L28" s="495"/>
      <c r="M28" s="495"/>
      <c r="N28" s="495"/>
      <c r="O28" s="495"/>
      <c r="P28" s="495"/>
      <c r="Q28" s="495"/>
      <c r="R28" s="481"/>
      <c r="S28" s="481"/>
      <c r="T28" s="481"/>
      <c r="U28" s="481"/>
      <c r="V28" s="481"/>
      <c r="W28" s="481"/>
    </row>
    <row r="29" spans="1:25" x14ac:dyDescent="0.25">
      <c r="I29" s="496" t="s">
        <v>605</v>
      </c>
      <c r="J29" s="496" t="s">
        <v>606</v>
      </c>
      <c r="K29" s="496" t="s">
        <v>607</v>
      </c>
      <c r="L29" s="496" t="s">
        <v>568</v>
      </c>
      <c r="M29" s="496" t="s">
        <v>608</v>
      </c>
      <c r="N29" s="497"/>
      <c r="O29" s="496" t="s">
        <v>569</v>
      </c>
      <c r="P29" s="496" t="s">
        <v>570</v>
      </c>
      <c r="Q29" s="496" t="s">
        <v>609</v>
      </c>
      <c r="R29" s="481"/>
      <c r="S29" s="481"/>
      <c r="T29" s="481"/>
      <c r="U29" s="481"/>
    </row>
    <row r="30" spans="1:25" x14ac:dyDescent="0.25">
      <c r="B30" s="498" t="s">
        <v>610</v>
      </c>
      <c r="I30" s="499">
        <f>Eingabeparameter!C84</f>
        <v>0.2</v>
      </c>
      <c r="J30" s="500">
        <f>Eingabeparameter!C85</f>
        <v>0.15</v>
      </c>
      <c r="K30" s="501">
        <f>1-EKQ_I</f>
        <v>0.8</v>
      </c>
      <c r="L30" s="500">
        <f>Eingabeparameter!C86</f>
        <v>0.03</v>
      </c>
      <c r="M30" s="502">
        <f>I38+(I26*FKQ_I)</f>
        <v>195732277.35699999</v>
      </c>
      <c r="N30" s="503"/>
      <c r="O30" s="504">
        <v>15</v>
      </c>
      <c r="P30" s="504">
        <v>0</v>
      </c>
      <c r="Q30" s="502">
        <f>PMT(L30,O30,M30,-P30)</f>
        <v>-16395823.560292017</v>
      </c>
      <c r="R30" s="481"/>
      <c r="S30" s="481"/>
      <c r="T30" s="481"/>
      <c r="U30" s="481"/>
    </row>
    <row r="31" spans="1:25" x14ac:dyDescent="0.25">
      <c r="G31" s="481"/>
      <c r="H31" s="481"/>
      <c r="I31" s="481"/>
      <c r="J31" s="481"/>
      <c r="K31" s="481"/>
      <c r="L31" s="481"/>
      <c r="M31" s="481"/>
      <c r="N31" s="481"/>
      <c r="O31" s="481"/>
      <c r="P31" s="481"/>
      <c r="Q31" s="481"/>
      <c r="R31" s="481"/>
      <c r="S31" s="481"/>
      <c r="T31" s="481"/>
      <c r="U31" s="481"/>
      <c r="V31" s="481"/>
      <c r="W31" s="481"/>
    </row>
    <row r="32" spans="1:25" x14ac:dyDescent="0.25">
      <c r="G32" s="481"/>
      <c r="H32" s="481"/>
      <c r="I32" s="505"/>
      <c r="J32" s="505"/>
      <c r="K32" s="481"/>
      <c r="L32" s="481"/>
      <c r="M32" s="481"/>
      <c r="N32" s="481"/>
      <c r="O32" s="481"/>
      <c r="P32" s="481"/>
      <c r="Q32" s="481"/>
      <c r="R32" s="481"/>
      <c r="S32" s="481"/>
      <c r="T32" s="481"/>
      <c r="U32" s="481"/>
      <c r="V32" s="481"/>
      <c r="W32" s="481"/>
    </row>
    <row r="33" spans="1:24" x14ac:dyDescent="0.25">
      <c r="G33" s="505"/>
      <c r="H33" s="481"/>
      <c r="I33" s="481"/>
      <c r="J33" s="481"/>
      <c r="K33" s="481"/>
      <c r="L33" s="481"/>
      <c r="M33" s="481"/>
      <c r="N33" s="481"/>
      <c r="O33" s="481"/>
      <c r="P33" s="481"/>
      <c r="Q33" s="481"/>
      <c r="R33" s="481"/>
      <c r="S33" s="481"/>
      <c r="T33" s="481"/>
      <c r="U33" s="481"/>
      <c r="V33" s="481"/>
      <c r="W33" s="481"/>
    </row>
    <row r="34" spans="1:24" ht="18.75" x14ac:dyDescent="0.3">
      <c r="A34" s="506" t="s">
        <v>611</v>
      </c>
      <c r="G34" s="481"/>
      <c r="H34" s="481"/>
      <c r="I34" s="481"/>
      <c r="J34" s="481"/>
      <c r="K34" s="481"/>
      <c r="L34" s="481"/>
      <c r="M34" s="481"/>
      <c r="N34" s="481"/>
      <c r="O34" s="481"/>
      <c r="P34" s="481"/>
      <c r="Q34" s="481"/>
      <c r="R34" s="481"/>
      <c r="S34" s="481"/>
      <c r="T34" s="481"/>
      <c r="U34" s="481"/>
      <c r="V34" s="481"/>
      <c r="W34" s="481"/>
    </row>
    <row r="35" spans="1:24" x14ac:dyDescent="0.25">
      <c r="B35" s="474" t="s">
        <v>551</v>
      </c>
      <c r="G35" s="481">
        <f t="shared" ref="G35:W35" si="20">G3</f>
        <v>1</v>
      </c>
      <c r="H35" s="481">
        <f t="shared" si="20"/>
        <v>2</v>
      </c>
      <c r="I35" s="481">
        <f t="shared" si="20"/>
        <v>3</v>
      </c>
      <c r="J35" s="481">
        <f t="shared" si="20"/>
        <v>4</v>
      </c>
      <c r="K35" s="481">
        <f t="shared" si="20"/>
        <v>5</v>
      </c>
      <c r="L35" s="481">
        <f t="shared" si="20"/>
        <v>6</v>
      </c>
      <c r="M35" s="481">
        <f t="shared" si="20"/>
        <v>7</v>
      </c>
      <c r="N35" s="481">
        <f t="shared" si="20"/>
        <v>8</v>
      </c>
      <c r="O35" s="481">
        <f t="shared" si="20"/>
        <v>9</v>
      </c>
      <c r="P35" s="481">
        <f t="shared" si="20"/>
        <v>10</v>
      </c>
      <c r="Q35" s="481">
        <f t="shared" si="20"/>
        <v>11</v>
      </c>
      <c r="R35" s="481">
        <f t="shared" si="20"/>
        <v>12</v>
      </c>
      <c r="S35" s="481">
        <f t="shared" si="20"/>
        <v>13</v>
      </c>
      <c r="T35" s="481">
        <f t="shared" si="20"/>
        <v>14</v>
      </c>
      <c r="U35" s="481">
        <f t="shared" si="20"/>
        <v>15</v>
      </c>
      <c r="V35" s="481">
        <f t="shared" si="20"/>
        <v>16</v>
      </c>
      <c r="W35" s="481">
        <f t="shared" si="20"/>
        <v>17</v>
      </c>
    </row>
    <row r="36" spans="1:24" x14ac:dyDescent="0.25">
      <c r="B36" s="498" t="s">
        <v>572</v>
      </c>
      <c r="G36" s="481"/>
      <c r="H36" s="481"/>
      <c r="I36" s="507">
        <v>1</v>
      </c>
      <c r="J36" s="507">
        <v>2</v>
      </c>
      <c r="K36" s="507">
        <v>3</v>
      </c>
      <c r="L36" s="507">
        <v>4</v>
      </c>
      <c r="M36" s="507">
        <v>5</v>
      </c>
      <c r="N36" s="507">
        <v>6</v>
      </c>
      <c r="O36" s="507">
        <v>7</v>
      </c>
      <c r="P36" s="507">
        <v>8</v>
      </c>
      <c r="Q36" s="507">
        <v>9</v>
      </c>
      <c r="R36" s="507">
        <v>10</v>
      </c>
      <c r="S36" s="507">
        <v>11</v>
      </c>
      <c r="T36" s="507">
        <v>12</v>
      </c>
      <c r="U36" s="507">
        <v>13</v>
      </c>
      <c r="V36" s="507">
        <v>14</v>
      </c>
      <c r="W36" s="507">
        <v>15</v>
      </c>
    </row>
    <row r="37" spans="1:24" x14ac:dyDescent="0.25">
      <c r="G37" s="508"/>
      <c r="H37" s="508"/>
      <c r="I37" s="508"/>
      <c r="J37" s="508"/>
      <c r="K37" s="508"/>
      <c r="L37" s="508"/>
      <c r="M37" s="508"/>
      <c r="N37" s="508"/>
      <c r="O37" s="508"/>
      <c r="P37" s="508"/>
      <c r="Q37" s="508"/>
      <c r="R37" s="509"/>
      <c r="S37" s="509"/>
      <c r="T37" s="509"/>
      <c r="U37" s="509"/>
      <c r="V37" s="509"/>
      <c r="W37" s="509"/>
    </row>
    <row r="38" spans="1:24" s="482" customFormat="1" x14ac:dyDescent="0.25">
      <c r="A38" s="482" t="s">
        <v>573</v>
      </c>
      <c r="G38" s="510">
        <f>F41</f>
        <v>0</v>
      </c>
      <c r="H38" s="510">
        <f>G41-G44</f>
        <v>61996451.899999999</v>
      </c>
      <c r="I38" s="489">
        <f>H41-H44</f>
        <v>125852797.35700001</v>
      </c>
      <c r="J38" s="489">
        <f>I41</f>
        <v>115328942.11741799</v>
      </c>
      <c r="K38" s="489">
        <f>J41</f>
        <v>104489371.22064851</v>
      </c>
      <c r="L38" s="489">
        <f>K41</f>
        <v>93324613.196975946</v>
      </c>
      <c r="M38" s="489">
        <f t="shared" ref="M38:W38" si="21">L41</f>
        <v>82865712.432593212</v>
      </c>
      <c r="N38" s="489">
        <f t="shared" si="21"/>
        <v>71021020.64527899</v>
      </c>
      <c r="O38" s="489">
        <f t="shared" si="21"/>
        <v>60873008.104345344</v>
      </c>
      <c r="P38" s="489">
        <f t="shared" si="21"/>
        <v>49347774.587183684</v>
      </c>
      <c r="Q38" s="489">
        <f t="shared" si="21"/>
        <v>36404760.064507179</v>
      </c>
      <c r="R38" s="489">
        <f t="shared" si="21"/>
        <v>23073455.106150378</v>
      </c>
      <c r="S38" s="489">
        <f t="shared" si="21"/>
        <v>71995250.999042869</v>
      </c>
      <c r="T38" s="489">
        <f t="shared" si="21"/>
        <v>59904089.568722136</v>
      </c>
      <c r="U38" s="489">
        <f t="shared" si="21"/>
        <v>45336612.695491783</v>
      </c>
      <c r="V38" s="489">
        <f t="shared" si="21"/>
        <v>31372911.516064517</v>
      </c>
      <c r="W38" s="489">
        <f t="shared" si="21"/>
        <v>15918275.301254435</v>
      </c>
    </row>
    <row r="39" spans="1:24" x14ac:dyDescent="0.25">
      <c r="B39" s="474" t="s">
        <v>574</v>
      </c>
      <c r="G39" s="511">
        <f t="shared" ref="G39:W39" si="22">G24*FKQ_I</f>
        <v>60190730</v>
      </c>
      <c r="H39" s="511">
        <f>H24*FKQ_I-G44</f>
        <v>61996451.899999999</v>
      </c>
      <c r="I39" s="481">
        <f>I24*FKQ_I-H44</f>
        <v>3665615.4569999999</v>
      </c>
      <c r="J39" s="481">
        <f t="shared" si="22"/>
        <v>0</v>
      </c>
      <c r="K39" s="481">
        <f t="shared" si="22"/>
        <v>0</v>
      </c>
      <c r="L39" s="481">
        <f t="shared" si="22"/>
        <v>1040800</v>
      </c>
      <c r="M39" s="481">
        <f t="shared" si="22"/>
        <v>0</v>
      </c>
      <c r="N39" s="481">
        <f t="shared" si="22"/>
        <v>2052020</v>
      </c>
      <c r="O39" s="481">
        <f t="shared" si="22"/>
        <v>1040800</v>
      </c>
      <c r="P39" s="481">
        <f t="shared" si="22"/>
        <v>0</v>
      </c>
      <c r="Q39" s="481">
        <f t="shared" si="22"/>
        <v>0</v>
      </c>
      <c r="R39" s="481">
        <f t="shared" si="22"/>
        <v>62653040</v>
      </c>
      <c r="S39" s="481">
        <f t="shared" si="22"/>
        <v>2052020</v>
      </c>
      <c r="T39" s="481">
        <f t="shared" si="22"/>
        <v>0</v>
      </c>
      <c r="U39" s="481">
        <f t="shared" si="22"/>
        <v>1040800</v>
      </c>
      <c r="V39" s="481">
        <f t="shared" si="22"/>
        <v>0</v>
      </c>
      <c r="W39" s="481">
        <f t="shared" si="22"/>
        <v>0</v>
      </c>
      <c r="X39" s="481">
        <f>SUM(G39:W39)</f>
        <v>195732277.35699999</v>
      </c>
    </row>
    <row r="40" spans="1:24" x14ac:dyDescent="0.25">
      <c r="B40" s="474" t="s">
        <v>575</v>
      </c>
      <c r="G40" s="511"/>
      <c r="H40" s="511"/>
      <c r="I40" s="507">
        <f>I43-I44</f>
        <v>-10523855.239582017</v>
      </c>
      <c r="J40" s="507">
        <f>J43-J44</f>
        <v>-10839570.896769479</v>
      </c>
      <c r="K40" s="507">
        <f>K43-K44</f>
        <v>-11164758.023672562</v>
      </c>
      <c r="L40" s="507">
        <f>L43-L44</f>
        <v>-11499700.764382739</v>
      </c>
      <c r="M40" s="507">
        <f t="shared" ref="M40:V40" si="23">M43-M44</f>
        <v>-11844691.787314221</v>
      </c>
      <c r="N40" s="507">
        <f t="shared" si="23"/>
        <v>-12200032.540933648</v>
      </c>
      <c r="O40" s="507">
        <f t="shared" si="23"/>
        <v>-12566033.517161658</v>
      </c>
      <c r="P40" s="507">
        <f t="shared" si="23"/>
        <v>-12943014.522676507</v>
      </c>
      <c r="Q40" s="507">
        <f t="shared" si="23"/>
        <v>-13331304.958356801</v>
      </c>
      <c r="R40" s="507">
        <f t="shared" si="23"/>
        <v>-13731244.107107507</v>
      </c>
      <c r="S40" s="507">
        <f t="shared" si="23"/>
        <v>-14143181.430320732</v>
      </c>
      <c r="T40" s="507">
        <f t="shared" si="23"/>
        <v>-14567476.873230353</v>
      </c>
      <c r="U40" s="507">
        <f t="shared" si="23"/>
        <v>-15004501.179427264</v>
      </c>
      <c r="V40" s="507">
        <f t="shared" si="23"/>
        <v>-15454636.214810083</v>
      </c>
      <c r="W40" s="507">
        <f>W43-W44</f>
        <v>-15918275.301254384</v>
      </c>
      <c r="X40" s="481">
        <f>SUM(G40:W40)</f>
        <v>-195732277.35699993</v>
      </c>
    </row>
    <row r="41" spans="1:24" s="482" customFormat="1" x14ac:dyDescent="0.25">
      <c r="A41" s="482" t="s">
        <v>576</v>
      </c>
      <c r="G41" s="510">
        <f>G38+G39+G40</f>
        <v>60190730</v>
      </c>
      <c r="H41" s="510">
        <f>G41+H39+H40</f>
        <v>122187181.90000001</v>
      </c>
      <c r="I41" s="489">
        <f>H41+I39+I40</f>
        <v>115328942.11741799</v>
      </c>
      <c r="J41" s="489">
        <f>J38+J39+J40</f>
        <v>104489371.22064851</v>
      </c>
      <c r="K41" s="489">
        <f>K38+K39+K40</f>
        <v>93324613.196975946</v>
      </c>
      <c r="L41" s="489">
        <f>L38+L39+L40</f>
        <v>82865712.432593212</v>
      </c>
      <c r="M41" s="489">
        <f t="shared" ref="M41:W41" si="24">M38+M39+M40</f>
        <v>71021020.64527899</v>
      </c>
      <c r="N41" s="489">
        <f t="shared" si="24"/>
        <v>60873008.104345344</v>
      </c>
      <c r="O41" s="489">
        <f t="shared" si="24"/>
        <v>49347774.587183684</v>
      </c>
      <c r="P41" s="489">
        <f t="shared" si="24"/>
        <v>36404760.064507179</v>
      </c>
      <c r="Q41" s="489">
        <f t="shared" si="24"/>
        <v>23073455.106150378</v>
      </c>
      <c r="R41" s="489">
        <f t="shared" si="24"/>
        <v>71995250.999042869</v>
      </c>
      <c r="S41" s="489">
        <f t="shared" si="24"/>
        <v>59904089.568722136</v>
      </c>
      <c r="T41" s="489">
        <f t="shared" si="24"/>
        <v>45336612.695491783</v>
      </c>
      <c r="U41" s="489">
        <f t="shared" si="24"/>
        <v>31372911.516064517</v>
      </c>
      <c r="V41" s="489">
        <f t="shared" si="24"/>
        <v>15918275.301254435</v>
      </c>
      <c r="W41" s="489">
        <f t="shared" si="24"/>
        <v>5.029141902923584E-8</v>
      </c>
    </row>
    <row r="42" spans="1:24" s="482" customFormat="1" x14ac:dyDescent="0.25">
      <c r="G42" s="489"/>
      <c r="H42" s="489"/>
      <c r="I42" s="489"/>
      <c r="J42" s="489"/>
      <c r="K42" s="489"/>
      <c r="L42" s="489"/>
      <c r="M42" s="489"/>
      <c r="N42" s="489"/>
      <c r="O42" s="489"/>
      <c r="P42" s="489"/>
      <c r="Q42" s="489"/>
      <c r="R42" s="489"/>
      <c r="S42" s="489"/>
      <c r="T42" s="489"/>
      <c r="U42" s="489"/>
      <c r="V42" s="489"/>
      <c r="W42" s="489"/>
    </row>
    <row r="43" spans="1:24" x14ac:dyDescent="0.25">
      <c r="B43" s="474" t="s">
        <v>571</v>
      </c>
      <c r="G43" s="507"/>
      <c r="H43" s="507"/>
      <c r="I43" s="507">
        <f>$Q$30</f>
        <v>-16395823.560292017</v>
      </c>
      <c r="J43" s="507">
        <f>$Q$30</f>
        <v>-16395823.560292017</v>
      </c>
      <c r="K43" s="507">
        <f>$Q$30</f>
        <v>-16395823.560292017</v>
      </c>
      <c r="L43" s="507">
        <f>$Q$30</f>
        <v>-16395823.560292017</v>
      </c>
      <c r="M43" s="507">
        <f t="shared" ref="M43:W43" si="25">$Q$30</f>
        <v>-16395823.560292017</v>
      </c>
      <c r="N43" s="507">
        <f t="shared" si="25"/>
        <v>-16395823.560292017</v>
      </c>
      <c r="O43" s="507">
        <f t="shared" si="25"/>
        <v>-16395823.560292017</v>
      </c>
      <c r="P43" s="507">
        <f t="shared" si="25"/>
        <v>-16395823.560292017</v>
      </c>
      <c r="Q43" s="507">
        <f t="shared" si="25"/>
        <v>-16395823.560292017</v>
      </c>
      <c r="R43" s="507">
        <f t="shared" si="25"/>
        <v>-16395823.560292017</v>
      </c>
      <c r="S43" s="507">
        <f t="shared" si="25"/>
        <v>-16395823.560292017</v>
      </c>
      <c r="T43" s="507">
        <f t="shared" si="25"/>
        <v>-16395823.560292017</v>
      </c>
      <c r="U43" s="507">
        <f t="shared" si="25"/>
        <v>-16395823.560292017</v>
      </c>
      <c r="V43" s="507">
        <f t="shared" si="25"/>
        <v>-16395823.560292017</v>
      </c>
      <c r="W43" s="507">
        <f t="shared" si="25"/>
        <v>-16395823.560292017</v>
      </c>
    </row>
    <row r="44" spans="1:24" x14ac:dyDescent="0.25">
      <c r="B44" s="474" t="s">
        <v>577</v>
      </c>
      <c r="G44" s="512">
        <f>-G41*$L$30</f>
        <v>-1805721.9</v>
      </c>
      <c r="H44" s="512">
        <f>-H41*$L$30</f>
        <v>-3665615.4569999999</v>
      </c>
      <c r="I44" s="512">
        <f t="shared" ref="I44:V44" si="26">IPMT($L$30,I$36,$O$30,$M$30,-$P$30)</f>
        <v>-5871968.3207099997</v>
      </c>
      <c r="J44" s="512">
        <f t="shared" si="26"/>
        <v>-5556252.6635225387</v>
      </c>
      <c r="K44" s="512">
        <f t="shared" si="26"/>
        <v>-5231065.5366194537</v>
      </c>
      <c r="L44" s="512">
        <f t="shared" si="26"/>
        <v>-4896122.7959092772</v>
      </c>
      <c r="M44" s="512">
        <f t="shared" si="26"/>
        <v>-4551131.7729777955</v>
      </c>
      <c r="N44" s="512">
        <f t="shared" si="26"/>
        <v>-4195791.0193583686</v>
      </c>
      <c r="O44" s="512">
        <f t="shared" si="26"/>
        <v>-3829790.0431303587</v>
      </c>
      <c r="P44" s="512">
        <f t="shared" si="26"/>
        <v>-3452809.0376155092</v>
      </c>
      <c r="Q44" s="512">
        <f t="shared" si="26"/>
        <v>-3064518.6019352144</v>
      </c>
      <c r="R44" s="512">
        <f t="shared" si="26"/>
        <v>-2664579.4531845101</v>
      </c>
      <c r="S44" s="512">
        <f t="shared" si="26"/>
        <v>-2252642.1299712844</v>
      </c>
      <c r="T44" s="512">
        <f t="shared" si="26"/>
        <v>-1828346.6870616628</v>
      </c>
      <c r="U44" s="512">
        <f t="shared" si="26"/>
        <v>-1391322.380864752</v>
      </c>
      <c r="V44" s="512">
        <f t="shared" si="26"/>
        <v>-941187.34548193403</v>
      </c>
      <c r="W44" s="512">
        <f>IF(O30&lt;W36,0,IPMT($L$30,W$36,$O$30,$M$30,-$P$30))</f>
        <v>-477548.25903763156</v>
      </c>
      <c r="X44" s="492">
        <f>SUM(G44:W44)</f>
        <v>-55676413.404380284</v>
      </c>
    </row>
    <row r="45" spans="1:24" x14ac:dyDescent="0.25">
      <c r="G45" s="481"/>
      <c r="H45" s="481"/>
      <c r="I45" s="481"/>
      <c r="J45" s="481"/>
      <c r="K45" s="481"/>
      <c r="L45" s="481"/>
      <c r="M45" s="481"/>
      <c r="N45" s="481"/>
      <c r="O45" s="481"/>
      <c r="P45" s="481"/>
      <c r="Q45" s="481">
        <f>Q43-Q40-Q44</f>
        <v>0</v>
      </c>
      <c r="R45" s="481">
        <f t="shared" ref="R45:W45" si="27">R43-R40-R44</f>
        <v>0</v>
      </c>
      <c r="S45" s="481">
        <f t="shared" si="27"/>
        <v>0</v>
      </c>
      <c r="T45" s="481">
        <f t="shared" si="27"/>
        <v>0</v>
      </c>
      <c r="U45" s="481">
        <f t="shared" si="27"/>
        <v>0</v>
      </c>
      <c r="V45" s="481">
        <f t="shared" si="27"/>
        <v>0</v>
      </c>
      <c r="W45" s="481">
        <f t="shared" si="27"/>
        <v>-9.3132257461547852E-10</v>
      </c>
    </row>
    <row r="46" spans="1:24" x14ac:dyDescent="0.25">
      <c r="G46" s="481"/>
      <c r="H46" s="481"/>
      <c r="I46" s="481"/>
      <c r="J46" s="481"/>
      <c r="K46" s="481"/>
      <c r="L46" s="481"/>
      <c r="M46" s="481"/>
      <c r="N46" s="481"/>
      <c r="O46" s="481"/>
      <c r="P46" s="481"/>
      <c r="Q46" s="481"/>
      <c r="R46" s="481"/>
      <c r="S46" s="481"/>
      <c r="T46" s="481"/>
      <c r="U46" s="481"/>
      <c r="V46" s="481"/>
      <c r="W46" s="481"/>
    </row>
    <row r="47" spans="1:24" x14ac:dyDescent="0.25">
      <c r="G47" s="481"/>
      <c r="H47" s="481"/>
      <c r="I47" s="481"/>
      <c r="J47" s="481"/>
      <c r="K47" s="481"/>
      <c r="L47" s="481"/>
      <c r="M47" s="481"/>
      <c r="N47" s="481"/>
      <c r="O47" s="481"/>
      <c r="P47" s="481"/>
      <c r="Q47" s="481"/>
      <c r="R47" s="481"/>
      <c r="S47" s="481"/>
      <c r="T47" s="481"/>
      <c r="U47" s="481"/>
      <c r="V47" s="481"/>
      <c r="W47" s="481"/>
    </row>
    <row r="48" spans="1:24" ht="18.75" x14ac:dyDescent="0.3">
      <c r="A48" s="506" t="s">
        <v>612</v>
      </c>
      <c r="G48" s="481"/>
      <c r="H48" s="481"/>
      <c r="I48" s="481"/>
      <c r="J48" s="481"/>
      <c r="K48" s="481"/>
      <c r="L48" s="481"/>
      <c r="M48" s="481"/>
      <c r="N48" s="481"/>
      <c r="O48" s="481"/>
      <c r="P48" s="481"/>
      <c r="Q48" s="481"/>
      <c r="R48" s="481"/>
      <c r="S48" s="481"/>
      <c r="T48" s="481"/>
      <c r="U48" s="481"/>
      <c r="V48" s="481"/>
      <c r="W48" s="481"/>
    </row>
    <row r="49" spans="1:24" x14ac:dyDescent="0.25">
      <c r="B49" s="474" t="s">
        <v>551</v>
      </c>
      <c r="G49" s="481">
        <f>G3</f>
        <v>1</v>
      </c>
      <c r="H49" s="481">
        <f t="shared" ref="H49:W49" si="28">H3</f>
        <v>2</v>
      </c>
      <c r="I49" s="481">
        <f t="shared" si="28"/>
        <v>3</v>
      </c>
      <c r="J49" s="481">
        <f t="shared" si="28"/>
        <v>4</v>
      </c>
      <c r="K49" s="481">
        <f t="shared" si="28"/>
        <v>5</v>
      </c>
      <c r="L49" s="481">
        <f t="shared" si="28"/>
        <v>6</v>
      </c>
      <c r="M49" s="481">
        <f t="shared" si="28"/>
        <v>7</v>
      </c>
      <c r="N49" s="481">
        <f t="shared" si="28"/>
        <v>8</v>
      </c>
      <c r="O49" s="481">
        <f t="shared" si="28"/>
        <v>9</v>
      </c>
      <c r="P49" s="481">
        <f t="shared" si="28"/>
        <v>10</v>
      </c>
      <c r="Q49" s="481">
        <f t="shared" si="28"/>
        <v>11</v>
      </c>
      <c r="R49" s="481">
        <f t="shared" si="28"/>
        <v>12</v>
      </c>
      <c r="S49" s="481">
        <f t="shared" si="28"/>
        <v>13</v>
      </c>
      <c r="T49" s="481">
        <f t="shared" si="28"/>
        <v>14</v>
      </c>
      <c r="U49" s="481">
        <f t="shared" si="28"/>
        <v>15</v>
      </c>
      <c r="V49" s="481">
        <f t="shared" si="28"/>
        <v>16</v>
      </c>
      <c r="W49" s="481">
        <f t="shared" si="28"/>
        <v>17</v>
      </c>
    </row>
    <row r="50" spans="1:24" x14ac:dyDescent="0.25">
      <c r="B50" s="498" t="s">
        <v>572</v>
      </c>
      <c r="G50" s="481"/>
      <c r="H50" s="481"/>
      <c r="I50" s="507">
        <v>1</v>
      </c>
      <c r="J50" s="507">
        <v>2</v>
      </c>
      <c r="K50" s="507">
        <v>3</v>
      </c>
      <c r="L50" s="507">
        <v>4</v>
      </c>
      <c r="M50" s="507">
        <v>5</v>
      </c>
      <c r="N50" s="507">
        <v>6</v>
      </c>
      <c r="O50" s="507">
        <v>7</v>
      </c>
      <c r="P50" s="507">
        <v>8</v>
      </c>
      <c r="Q50" s="507">
        <v>9</v>
      </c>
      <c r="R50" s="507">
        <v>10</v>
      </c>
      <c r="S50" s="507">
        <v>11</v>
      </c>
      <c r="T50" s="507">
        <v>12</v>
      </c>
      <c r="U50" s="507">
        <v>13</v>
      </c>
      <c r="V50" s="507">
        <v>14</v>
      </c>
      <c r="W50" s="507">
        <v>15</v>
      </c>
    </row>
    <row r="51" spans="1:24" s="482" customFormat="1" x14ac:dyDescent="0.25">
      <c r="A51" s="482" t="s">
        <v>573</v>
      </c>
      <c r="G51" s="510">
        <f>F54</f>
        <v>0</v>
      </c>
      <c r="H51" s="510">
        <f>G54</f>
        <v>15047682.5</v>
      </c>
      <c r="I51" s="489">
        <f>H54</f>
        <v>30095365</v>
      </c>
      <c r="J51" s="489">
        <f>I54</f>
        <v>30095365</v>
      </c>
      <c r="K51" s="489">
        <f>J54</f>
        <v>30095365</v>
      </c>
      <c r="L51" s="489">
        <f t="shared" ref="L51:W51" si="29">K54</f>
        <v>30095365</v>
      </c>
      <c r="M51" s="489">
        <f t="shared" si="29"/>
        <v>30355565</v>
      </c>
      <c r="N51" s="489">
        <f t="shared" si="29"/>
        <v>30355565</v>
      </c>
      <c r="O51" s="489">
        <f t="shared" si="29"/>
        <v>30868570</v>
      </c>
      <c r="P51" s="489">
        <f t="shared" si="29"/>
        <v>31128770</v>
      </c>
      <c r="Q51" s="489">
        <f t="shared" si="29"/>
        <v>31128770</v>
      </c>
      <c r="R51" s="489">
        <f t="shared" si="29"/>
        <v>31128770</v>
      </c>
      <c r="S51" s="489">
        <f t="shared" si="29"/>
        <v>46792030</v>
      </c>
      <c r="T51" s="489">
        <f t="shared" si="29"/>
        <v>47305035</v>
      </c>
      <c r="U51" s="489">
        <f t="shared" si="29"/>
        <v>47305035</v>
      </c>
      <c r="V51" s="489">
        <f t="shared" si="29"/>
        <v>47565235</v>
      </c>
      <c r="W51" s="489">
        <f t="shared" si="29"/>
        <v>47565235</v>
      </c>
    </row>
    <row r="52" spans="1:24" x14ac:dyDescent="0.25">
      <c r="B52" s="474" t="s">
        <v>574</v>
      </c>
      <c r="G52" s="511">
        <f t="shared" ref="G52:W52" si="30">G24*EKQ_I</f>
        <v>15047682.5</v>
      </c>
      <c r="H52" s="511">
        <f t="shared" si="30"/>
        <v>15047682.5</v>
      </c>
      <c r="I52" s="481">
        <f t="shared" si="30"/>
        <v>0</v>
      </c>
      <c r="J52" s="481">
        <f t="shared" si="30"/>
        <v>0</v>
      </c>
      <c r="K52" s="481">
        <f t="shared" si="30"/>
        <v>0</v>
      </c>
      <c r="L52" s="481">
        <f t="shared" si="30"/>
        <v>260200</v>
      </c>
      <c r="M52" s="481">
        <f t="shared" si="30"/>
        <v>0</v>
      </c>
      <c r="N52" s="481">
        <f t="shared" si="30"/>
        <v>513005</v>
      </c>
      <c r="O52" s="481">
        <f t="shared" si="30"/>
        <v>260200</v>
      </c>
      <c r="P52" s="481">
        <f t="shared" si="30"/>
        <v>0</v>
      </c>
      <c r="Q52" s="481">
        <f t="shared" si="30"/>
        <v>0</v>
      </c>
      <c r="R52" s="481">
        <f t="shared" si="30"/>
        <v>15663260</v>
      </c>
      <c r="S52" s="481">
        <f t="shared" si="30"/>
        <v>513005</v>
      </c>
      <c r="T52" s="481">
        <f t="shared" si="30"/>
        <v>0</v>
      </c>
      <c r="U52" s="481">
        <f t="shared" si="30"/>
        <v>260200</v>
      </c>
      <c r="V52" s="481">
        <f t="shared" si="30"/>
        <v>0</v>
      </c>
      <c r="W52" s="481">
        <f t="shared" si="30"/>
        <v>0</v>
      </c>
      <c r="X52" s="481">
        <f>SUM(G52:W52)</f>
        <v>47565235</v>
      </c>
    </row>
    <row r="53" spans="1:24" x14ac:dyDescent="0.25">
      <c r="B53" s="474" t="s">
        <v>575</v>
      </c>
      <c r="G53" s="511"/>
      <c r="H53" s="511"/>
      <c r="I53" s="507">
        <v>0</v>
      </c>
      <c r="J53" s="507">
        <v>0</v>
      </c>
      <c r="K53" s="507">
        <v>0</v>
      </c>
      <c r="L53" s="507">
        <v>0</v>
      </c>
      <c r="M53" s="507">
        <v>0</v>
      </c>
      <c r="N53" s="507">
        <v>0</v>
      </c>
      <c r="O53" s="507">
        <v>0</v>
      </c>
      <c r="P53" s="507">
        <v>0</v>
      </c>
      <c r="Q53" s="507">
        <v>0</v>
      </c>
      <c r="R53" s="507">
        <v>0</v>
      </c>
      <c r="S53" s="507">
        <v>0</v>
      </c>
      <c r="T53" s="507">
        <v>0</v>
      </c>
      <c r="U53" s="507">
        <v>0</v>
      </c>
      <c r="V53" s="507">
        <v>0</v>
      </c>
      <c r="W53" s="507">
        <v>0</v>
      </c>
      <c r="X53" s="481">
        <f>SUM(G53:W53)</f>
        <v>0</v>
      </c>
    </row>
    <row r="54" spans="1:24" s="482" customFormat="1" x14ac:dyDescent="0.25">
      <c r="A54" s="482" t="s">
        <v>576</v>
      </c>
      <c r="G54" s="510">
        <f>G51+G52+G53</f>
        <v>15047682.5</v>
      </c>
      <c r="H54" s="510">
        <f>H51+H52+H53</f>
        <v>30095365</v>
      </c>
      <c r="I54" s="489">
        <f>I51+I52+I53</f>
        <v>30095365</v>
      </c>
      <c r="J54" s="489">
        <f>J51+J52+J53</f>
        <v>30095365</v>
      </c>
      <c r="K54" s="489">
        <f>K51+K52+K53</f>
        <v>30095365</v>
      </c>
      <c r="L54" s="489">
        <f t="shared" ref="L54:W54" si="31">L51+L52+L53</f>
        <v>30355565</v>
      </c>
      <c r="M54" s="489">
        <f t="shared" si="31"/>
        <v>30355565</v>
      </c>
      <c r="N54" s="489">
        <f t="shared" si="31"/>
        <v>30868570</v>
      </c>
      <c r="O54" s="489">
        <f t="shared" si="31"/>
        <v>31128770</v>
      </c>
      <c r="P54" s="489">
        <f t="shared" si="31"/>
        <v>31128770</v>
      </c>
      <c r="Q54" s="489">
        <f t="shared" si="31"/>
        <v>31128770</v>
      </c>
      <c r="R54" s="489">
        <f t="shared" si="31"/>
        <v>46792030</v>
      </c>
      <c r="S54" s="489">
        <f t="shared" si="31"/>
        <v>47305035</v>
      </c>
      <c r="T54" s="489">
        <f t="shared" si="31"/>
        <v>47305035</v>
      </c>
      <c r="U54" s="489">
        <f t="shared" si="31"/>
        <v>47565235</v>
      </c>
      <c r="V54" s="489">
        <f t="shared" si="31"/>
        <v>47565235</v>
      </c>
      <c r="W54" s="489">
        <f t="shared" si="31"/>
        <v>47565235</v>
      </c>
    </row>
    <row r="55" spans="1:24" s="482" customFormat="1" x14ac:dyDescent="0.25">
      <c r="G55" s="489"/>
      <c r="H55" s="489"/>
      <c r="I55" s="489"/>
      <c r="J55" s="489"/>
      <c r="K55" s="489"/>
      <c r="L55" s="489"/>
      <c r="M55" s="489"/>
      <c r="N55" s="489"/>
      <c r="O55" s="489"/>
      <c r="P55" s="489"/>
      <c r="Q55" s="489"/>
      <c r="R55" s="489"/>
      <c r="S55" s="489"/>
      <c r="T55" s="489"/>
      <c r="U55" s="489"/>
      <c r="V55" s="489"/>
      <c r="W55" s="489"/>
    </row>
    <row r="56" spans="1:24" x14ac:dyDescent="0.25">
      <c r="G56" s="507"/>
      <c r="H56" s="507"/>
      <c r="I56" s="507"/>
      <c r="J56" s="507"/>
      <c r="K56" s="507"/>
      <c r="L56" s="507"/>
      <c r="M56" s="507"/>
      <c r="N56" s="507"/>
      <c r="O56" s="507"/>
      <c r="P56" s="507"/>
      <c r="Q56" s="507"/>
      <c r="R56" s="507"/>
      <c r="S56" s="507"/>
      <c r="T56" s="507"/>
      <c r="U56" s="507"/>
      <c r="V56" s="507"/>
      <c r="W56" s="507"/>
    </row>
    <row r="57" spans="1:24" x14ac:dyDescent="0.25">
      <c r="B57" s="474" t="s">
        <v>606</v>
      </c>
      <c r="G57" s="512">
        <f>-G54*$J$30</f>
        <v>-2257152.375</v>
      </c>
      <c r="H57" s="512">
        <f>-H54*$J$30</f>
        <v>-4514304.75</v>
      </c>
      <c r="I57" s="512">
        <f>-I54*$J$30</f>
        <v>-4514304.75</v>
      </c>
      <c r="J57" s="512">
        <f>-J54*$J$30</f>
        <v>-4514304.75</v>
      </c>
      <c r="K57" s="512">
        <f>-K54*$J$30</f>
        <v>-4514304.75</v>
      </c>
      <c r="L57" s="512">
        <f t="shared" ref="L57:W57" si="32">-L54*$J$30</f>
        <v>-4553334.75</v>
      </c>
      <c r="M57" s="512">
        <f t="shared" si="32"/>
        <v>-4553334.75</v>
      </c>
      <c r="N57" s="512">
        <f t="shared" si="32"/>
        <v>-4630285.5</v>
      </c>
      <c r="O57" s="512">
        <f t="shared" si="32"/>
        <v>-4669315.5</v>
      </c>
      <c r="P57" s="512">
        <f t="shared" si="32"/>
        <v>-4669315.5</v>
      </c>
      <c r="Q57" s="512">
        <f>-Q54*$J$30</f>
        <v>-4669315.5</v>
      </c>
      <c r="R57" s="512">
        <f t="shared" si="32"/>
        <v>-7018804.5</v>
      </c>
      <c r="S57" s="512">
        <f t="shared" si="32"/>
        <v>-7095755.25</v>
      </c>
      <c r="T57" s="512">
        <f t="shared" si="32"/>
        <v>-7095755.25</v>
      </c>
      <c r="U57" s="512">
        <f t="shared" si="32"/>
        <v>-7134785.25</v>
      </c>
      <c r="V57" s="512">
        <f t="shared" si="32"/>
        <v>-7134785.25</v>
      </c>
      <c r="W57" s="512">
        <f t="shared" si="32"/>
        <v>-7134785.25</v>
      </c>
      <c r="X57" s="492">
        <f>SUM(G57:W57)</f>
        <v>-90673943.625</v>
      </c>
    </row>
    <row r="58" spans="1:24" x14ac:dyDescent="0.25">
      <c r="G58" s="481"/>
      <c r="H58" s="481"/>
      <c r="I58" s="481"/>
      <c r="J58" s="481"/>
      <c r="K58" s="481"/>
      <c r="L58" s="481"/>
      <c r="M58" s="481"/>
      <c r="N58" s="481"/>
      <c r="O58" s="481"/>
      <c r="P58" s="481"/>
      <c r="Q58" s="481"/>
      <c r="R58" s="481"/>
      <c r="S58" s="481"/>
      <c r="T58" s="481"/>
      <c r="U58" s="481"/>
      <c r="V58" s="481"/>
      <c r="W58" s="481"/>
    </row>
    <row r="59" spans="1:24" x14ac:dyDescent="0.25">
      <c r="G59" s="481"/>
      <c r="H59" s="481"/>
      <c r="I59" s="481"/>
      <c r="J59" s="481"/>
      <c r="K59" s="481"/>
      <c r="L59" s="481"/>
      <c r="M59" s="481"/>
      <c r="N59" s="481"/>
      <c r="O59" s="481"/>
      <c r="P59" s="481"/>
      <c r="Q59" s="481"/>
      <c r="R59" s="481"/>
      <c r="S59" s="481"/>
      <c r="T59" s="481"/>
      <c r="U59" s="481"/>
      <c r="V59" s="481"/>
      <c r="W59" s="481"/>
    </row>
    <row r="60" spans="1:24" x14ac:dyDescent="0.25">
      <c r="G60" s="481"/>
      <c r="H60" s="481"/>
      <c r="I60" s="481"/>
      <c r="J60" s="481"/>
      <c r="K60" s="481"/>
      <c r="L60" s="481"/>
      <c r="M60" s="481"/>
      <c r="N60" s="481"/>
      <c r="O60" s="481"/>
      <c r="P60" s="481"/>
      <c r="Q60" s="481"/>
      <c r="R60" s="481"/>
      <c r="S60" s="481"/>
      <c r="T60" s="481"/>
      <c r="U60" s="481"/>
      <c r="V60" s="481"/>
      <c r="W60" s="481"/>
    </row>
    <row r="61" spans="1:24" s="482" customFormat="1" x14ac:dyDescent="0.25">
      <c r="A61" s="482" t="s">
        <v>26</v>
      </c>
      <c r="G61" s="489">
        <f t="shared" ref="G61:X61" si="33">G57+G44</f>
        <v>-4062874.2749999999</v>
      </c>
      <c r="H61" s="489">
        <f t="shared" si="33"/>
        <v>-8179920.2070000004</v>
      </c>
      <c r="I61" s="489">
        <f t="shared" si="33"/>
        <v>-10386273.07071</v>
      </c>
      <c r="J61" s="489">
        <f t="shared" si="33"/>
        <v>-10070557.413522538</v>
      </c>
      <c r="K61" s="489">
        <f t="shared" si="33"/>
        <v>-9745370.2866194546</v>
      </c>
      <c r="L61" s="489">
        <f t="shared" si="33"/>
        <v>-9449457.5459092781</v>
      </c>
      <c r="M61" s="489">
        <f t="shared" si="33"/>
        <v>-9104466.5229777955</v>
      </c>
      <c r="N61" s="489">
        <f t="shared" si="33"/>
        <v>-8826076.5193583686</v>
      </c>
      <c r="O61" s="489">
        <f t="shared" si="33"/>
        <v>-8499105.5431303587</v>
      </c>
      <c r="P61" s="489">
        <f t="shared" si="33"/>
        <v>-8122124.5376155097</v>
      </c>
      <c r="Q61" s="489">
        <f t="shared" si="33"/>
        <v>-7733834.1019352144</v>
      </c>
      <c r="R61" s="489">
        <f t="shared" si="33"/>
        <v>-9683383.9531845096</v>
      </c>
      <c r="S61" s="489">
        <f t="shared" si="33"/>
        <v>-9348397.3799712844</v>
      </c>
      <c r="T61" s="489">
        <f t="shared" si="33"/>
        <v>-8924101.9370616637</v>
      </c>
      <c r="U61" s="489">
        <f t="shared" si="33"/>
        <v>-8526107.6308647525</v>
      </c>
      <c r="V61" s="489">
        <f t="shared" si="33"/>
        <v>-8075972.595481934</v>
      </c>
      <c r="W61" s="489">
        <f t="shared" si="33"/>
        <v>-7612333.5090376316</v>
      </c>
      <c r="X61" s="492">
        <f t="shared" si="33"/>
        <v>-146350357.02938029</v>
      </c>
    </row>
    <row r="62" spans="1:24" x14ac:dyDescent="0.25">
      <c r="G62" s="481"/>
      <c r="H62" s="481"/>
      <c r="I62" s="481"/>
      <c r="J62" s="481"/>
      <c r="K62" s="481"/>
      <c r="L62" s="481"/>
      <c r="M62" s="481"/>
      <c r="N62" s="481"/>
      <c r="O62" s="481"/>
      <c r="P62" s="481"/>
      <c r="Q62" s="481"/>
      <c r="R62" s="481"/>
      <c r="S62" s="481"/>
      <c r="T62" s="481"/>
      <c r="U62" s="481"/>
      <c r="V62" s="481"/>
      <c r="W62" s="481"/>
    </row>
    <row r="63" spans="1:24" x14ac:dyDescent="0.25">
      <c r="G63" s="481"/>
      <c r="H63" s="481"/>
      <c r="I63" s="481"/>
      <c r="J63" s="481"/>
      <c r="K63" s="481"/>
      <c r="L63" s="481"/>
      <c r="M63" s="481"/>
      <c r="N63" s="481"/>
      <c r="O63" s="481"/>
      <c r="P63" s="481"/>
    </row>
  </sheetData>
  <sheetProtection sheet="1" objects="1" scenarios="1"/>
  <mergeCells count="1">
    <mergeCell ref="I7:W7"/>
  </mergeCells>
  <printOptions horizontalCentered="1" verticalCentered="1"/>
  <pageMargins left="0.70866141732283472" right="0.70866141732283472" top="0.98425196850393704" bottom="0.78740157480314965" header="0.31496062992125984" footer="0.31496062992125984"/>
  <pageSetup paperSize="8" scale="54" orientation="landscape" r:id="rId1"/>
  <headerFooter>
    <oddHeader>&amp;L&amp;"Arial,Fett"&amp;16Gesamt-VRR&amp;C&amp;"Arial,Fett"&amp;16Machbarkeitsstudie EFM-3
- VERTRAULICH! -&amp;R&amp;G</oddHeader>
    <oddFooter>&amp;L&amp;"Arial,Standard"&amp;F
&amp;A
&amp;D
© BLIC / KCW&amp;C&amp;"Arial,Standard"&amp;P / &amp;N&amp;R&amp;G</oddFooter>
  </headerFooter>
  <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3"/>
  <sheetViews>
    <sheetView zoomScaleNormal="100" zoomScaleSheetLayoutView="100" zoomScalePageLayoutView="70" workbookViewId="0"/>
  </sheetViews>
  <sheetFormatPr baseColWidth="10" defaultColWidth="11.42578125" defaultRowHeight="15" x14ac:dyDescent="0.25"/>
  <cols>
    <col min="1" max="1" width="2.7109375" style="513" customWidth="1"/>
    <col min="2" max="2" width="30.7109375" style="513" customWidth="1"/>
    <col min="3" max="3" width="7.7109375" style="513" customWidth="1"/>
    <col min="4" max="18" width="12.7109375" style="513" customWidth="1"/>
    <col min="19" max="19" width="14.85546875" style="513" customWidth="1"/>
    <col min="20" max="16384" width="11.42578125" style="513"/>
  </cols>
  <sheetData>
    <row r="1" spans="1:19" ht="18" x14ac:dyDescent="0.25">
      <c r="A1" s="418" t="s">
        <v>642</v>
      </c>
    </row>
    <row r="2" spans="1:19" ht="15.75" thickBot="1" x14ac:dyDescent="0.3"/>
    <row r="3" spans="1:19" s="474" customFormat="1" ht="16.5" thickBot="1" x14ac:dyDescent="0.3">
      <c r="B3" s="474" t="s">
        <v>551</v>
      </c>
      <c r="D3" s="475">
        <v>1</v>
      </c>
      <c r="E3" s="475">
        <v>2</v>
      </c>
      <c r="F3" s="475">
        <v>3</v>
      </c>
      <c r="G3" s="475">
        <v>4</v>
      </c>
      <c r="H3" s="475">
        <v>5</v>
      </c>
      <c r="I3" s="475">
        <v>6</v>
      </c>
      <c r="J3" s="475">
        <v>7</v>
      </c>
      <c r="K3" s="475">
        <v>8</v>
      </c>
      <c r="L3" s="475">
        <v>9</v>
      </c>
      <c r="M3" s="475">
        <v>10</v>
      </c>
      <c r="N3" s="475">
        <v>11</v>
      </c>
      <c r="O3" s="475">
        <v>12</v>
      </c>
      <c r="P3" s="475">
        <v>13</v>
      </c>
      <c r="Q3" s="475">
        <v>14</v>
      </c>
      <c r="R3" s="475">
        <v>15</v>
      </c>
      <c r="S3" s="476" t="s">
        <v>26</v>
      </c>
    </row>
    <row r="5" spans="1:19" x14ac:dyDescent="0.25">
      <c r="B5" s="513" t="s">
        <v>578</v>
      </c>
      <c r="D5" s="514">
        <f>'Gesamtkosten incl. WBK'!D21</f>
        <v>13906182.777777776</v>
      </c>
      <c r="E5" s="514">
        <f>'Gesamtkosten incl. WBK'!E21</f>
        <v>13906182.777777776</v>
      </c>
      <c r="F5" s="514">
        <f>'Gesamtkosten incl. WBK'!F21</f>
        <v>13906182.777777776</v>
      </c>
      <c r="G5" s="514">
        <f>'Gesamtkosten incl. WBK'!G21</f>
        <v>13906182.777777776</v>
      </c>
      <c r="H5" s="514">
        <f>'Gesamtkosten incl. WBK'!H21</f>
        <v>13906182.777777776</v>
      </c>
      <c r="I5" s="514">
        <f>'Gesamtkosten incl. WBK'!I21</f>
        <v>13906182.777777776</v>
      </c>
      <c r="J5" s="514">
        <f>'Gesamtkosten incl. WBK'!J21</f>
        <v>13906182.777777776</v>
      </c>
      <c r="K5" s="514">
        <f>'Gesamtkosten incl. WBK'!K21</f>
        <v>13906182.777777776</v>
      </c>
      <c r="L5" s="514">
        <f>'Gesamtkosten incl. WBK'!L21</f>
        <v>13906182.777777776</v>
      </c>
      <c r="M5" s="514">
        <f>'Gesamtkosten incl. WBK'!M21</f>
        <v>13906182.777777776</v>
      </c>
      <c r="N5" s="514">
        <f>'Gesamtkosten incl. WBK'!N21</f>
        <v>13906182.777777776</v>
      </c>
      <c r="O5" s="514">
        <f>'Gesamtkosten incl. WBK'!O21</f>
        <v>13906182.777777776</v>
      </c>
      <c r="P5" s="514">
        <f>'Gesamtkosten incl. WBK'!P21</f>
        <v>13906182.777777776</v>
      </c>
      <c r="Q5" s="514">
        <f>'Gesamtkosten incl. WBK'!Q21</f>
        <v>13906182.777777776</v>
      </c>
      <c r="R5" s="514">
        <f>'Gesamtkosten incl. WBK'!R21</f>
        <v>13906182.777777776</v>
      </c>
      <c r="S5" s="489">
        <f>SUM(D5:R5)</f>
        <v>208592741.66666669</v>
      </c>
    </row>
    <row r="6" spans="1:19" x14ac:dyDescent="0.25">
      <c r="B6" s="513" t="s">
        <v>579</v>
      </c>
      <c r="D6" s="514">
        <f>'Gesamtkosten incl. WBK'!D47</f>
        <v>59973717.282837838</v>
      </c>
      <c r="E6" s="514">
        <f>'Gesamtkosten incl. WBK'!E47</f>
        <v>59973717.282837838</v>
      </c>
      <c r="F6" s="514">
        <f>'Gesamtkosten incl. WBK'!F47</f>
        <v>59973717.282837838</v>
      </c>
      <c r="G6" s="514">
        <f>'Gesamtkosten incl. WBK'!G47</f>
        <v>59973717.282837838</v>
      </c>
      <c r="H6" s="514">
        <f>'Gesamtkosten incl. WBK'!H47</f>
        <v>59973717.282837838</v>
      </c>
      <c r="I6" s="514">
        <f>'Gesamtkosten incl. WBK'!I47</f>
        <v>59973717.282837838</v>
      </c>
      <c r="J6" s="514">
        <f>'Gesamtkosten incl. WBK'!J47</f>
        <v>59973717.282837838</v>
      </c>
      <c r="K6" s="514">
        <f>'Gesamtkosten incl. WBK'!K47</f>
        <v>59973717.282837838</v>
      </c>
      <c r="L6" s="514">
        <f>'Gesamtkosten incl. WBK'!L47</f>
        <v>59973717.282837838</v>
      </c>
      <c r="M6" s="514">
        <f>'Gesamtkosten incl. WBK'!M47</f>
        <v>59973717.282837838</v>
      </c>
      <c r="N6" s="514">
        <f>'Gesamtkosten incl. WBK'!N47</f>
        <v>59973717.282837838</v>
      </c>
      <c r="O6" s="514">
        <f>'Gesamtkosten incl. WBK'!O47</f>
        <v>59973717.282837838</v>
      </c>
      <c r="P6" s="514">
        <f>'Gesamtkosten incl. WBK'!P47</f>
        <v>59973717.282837838</v>
      </c>
      <c r="Q6" s="514">
        <f>'Gesamtkosten incl. WBK'!Q47</f>
        <v>59973717.282837838</v>
      </c>
      <c r="R6" s="514">
        <f>'Gesamtkosten incl. WBK'!R47</f>
        <v>59973717.282837838</v>
      </c>
      <c r="S6" s="489">
        <f>SUM(D6:R6)</f>
        <v>899605759.2425679</v>
      </c>
    </row>
    <row r="7" spans="1:19" s="482" customFormat="1" x14ac:dyDescent="0.25">
      <c r="B7" s="482" t="s">
        <v>580</v>
      </c>
      <c r="D7" s="489">
        <f>D5+D6</f>
        <v>73879900.060615614</v>
      </c>
      <c r="E7" s="489">
        <f t="shared" ref="E7:R7" si="0">E5+E6</f>
        <v>73879900.060615614</v>
      </c>
      <c r="F7" s="489">
        <f t="shared" si="0"/>
        <v>73879900.060615614</v>
      </c>
      <c r="G7" s="489">
        <f t="shared" si="0"/>
        <v>73879900.060615614</v>
      </c>
      <c r="H7" s="489">
        <f t="shared" si="0"/>
        <v>73879900.060615614</v>
      </c>
      <c r="I7" s="489">
        <f t="shared" si="0"/>
        <v>73879900.060615614</v>
      </c>
      <c r="J7" s="489">
        <f t="shared" si="0"/>
        <v>73879900.060615614</v>
      </c>
      <c r="K7" s="489">
        <f t="shared" si="0"/>
        <v>73879900.060615614</v>
      </c>
      <c r="L7" s="489">
        <f t="shared" si="0"/>
        <v>73879900.060615614</v>
      </c>
      <c r="M7" s="489">
        <f t="shared" si="0"/>
        <v>73879900.060615614</v>
      </c>
      <c r="N7" s="489">
        <f t="shared" si="0"/>
        <v>73879900.060615614</v>
      </c>
      <c r="O7" s="489">
        <f t="shared" si="0"/>
        <v>73879900.060615614</v>
      </c>
      <c r="P7" s="489">
        <f t="shared" si="0"/>
        <v>73879900.060615614</v>
      </c>
      <c r="Q7" s="489">
        <f t="shared" si="0"/>
        <v>73879900.060615614</v>
      </c>
      <c r="R7" s="489">
        <f t="shared" si="0"/>
        <v>73879900.060615614</v>
      </c>
      <c r="S7" s="489">
        <f>SUM(D7:R7)</f>
        <v>1108198500.9092345</v>
      </c>
    </row>
    <row r="8" spans="1:19" x14ac:dyDescent="0.25">
      <c r="D8" s="514"/>
      <c r="E8" s="514"/>
      <c r="F8" s="514"/>
      <c r="G8" s="514"/>
      <c r="H8" s="514"/>
      <c r="I8" s="514"/>
      <c r="J8" s="514"/>
      <c r="K8" s="514"/>
      <c r="L8" s="514"/>
      <c r="M8" s="514"/>
      <c r="N8" s="514"/>
      <c r="O8" s="514"/>
      <c r="P8" s="514"/>
      <c r="Q8" s="514"/>
      <c r="R8" s="514"/>
      <c r="S8" s="489"/>
    </row>
    <row r="9" spans="1:19" x14ac:dyDescent="0.25">
      <c r="B9" s="513" t="s">
        <v>581</v>
      </c>
      <c r="D9" s="514">
        <f>-Finanzierung!I44</f>
        <v>5871968.3207099997</v>
      </c>
      <c r="E9" s="514">
        <f>-Finanzierung!J44</f>
        <v>5556252.6635225387</v>
      </c>
      <c r="F9" s="514">
        <f>-Finanzierung!K44</f>
        <v>5231065.5366194537</v>
      </c>
      <c r="G9" s="514">
        <f>-Finanzierung!L44</f>
        <v>4896122.7959092772</v>
      </c>
      <c r="H9" s="514">
        <f>-Finanzierung!M44</f>
        <v>4551131.7729777955</v>
      </c>
      <c r="I9" s="514">
        <f>-Finanzierung!N44</f>
        <v>4195791.0193583686</v>
      </c>
      <c r="J9" s="514">
        <f>-Finanzierung!O44</f>
        <v>3829790.0431303587</v>
      </c>
      <c r="K9" s="514">
        <f>-Finanzierung!P44</f>
        <v>3452809.0376155092</v>
      </c>
      <c r="L9" s="514">
        <f>-Finanzierung!Q44</f>
        <v>3064518.6019352144</v>
      </c>
      <c r="M9" s="514">
        <f>-Finanzierung!R44</f>
        <v>2664579.4531845101</v>
      </c>
      <c r="N9" s="514">
        <f>-Finanzierung!S44</f>
        <v>2252642.1299712844</v>
      </c>
      <c r="O9" s="514">
        <f>-Finanzierung!T44</f>
        <v>1828346.6870616628</v>
      </c>
      <c r="P9" s="514">
        <f>-Finanzierung!U44</f>
        <v>1391322.380864752</v>
      </c>
      <c r="Q9" s="514">
        <f>-Finanzierung!V44</f>
        <v>941187.34548193403</v>
      </c>
      <c r="R9" s="514">
        <f>-Finanzierung!W44</f>
        <v>477548.25903763156</v>
      </c>
      <c r="S9" s="489">
        <f>SUM(D9:R9)</f>
        <v>50205076.047380291</v>
      </c>
    </row>
    <row r="10" spans="1:19" x14ac:dyDescent="0.25">
      <c r="B10" s="513" t="s">
        <v>582</v>
      </c>
      <c r="C10" s="515">
        <f>Eingabeparameter!C87</f>
        <v>0</v>
      </c>
      <c r="D10" s="514">
        <f>(D7+D9)*$C$10</f>
        <v>0</v>
      </c>
      <c r="E10" s="514">
        <f t="shared" ref="E10:R10" si="1">(E7+E9)*$C$10</f>
        <v>0</v>
      </c>
      <c r="F10" s="514">
        <f t="shared" si="1"/>
        <v>0</v>
      </c>
      <c r="G10" s="514">
        <f t="shared" si="1"/>
        <v>0</v>
      </c>
      <c r="H10" s="514">
        <f t="shared" si="1"/>
        <v>0</v>
      </c>
      <c r="I10" s="514">
        <f t="shared" si="1"/>
        <v>0</v>
      </c>
      <c r="J10" s="514">
        <f t="shared" si="1"/>
        <v>0</v>
      </c>
      <c r="K10" s="514">
        <f t="shared" si="1"/>
        <v>0</v>
      </c>
      <c r="L10" s="514">
        <f t="shared" si="1"/>
        <v>0</v>
      </c>
      <c r="M10" s="514">
        <f t="shared" si="1"/>
        <v>0</v>
      </c>
      <c r="N10" s="514">
        <f t="shared" si="1"/>
        <v>0</v>
      </c>
      <c r="O10" s="514">
        <f t="shared" si="1"/>
        <v>0</v>
      </c>
      <c r="P10" s="514">
        <f t="shared" si="1"/>
        <v>0</v>
      </c>
      <c r="Q10" s="514">
        <f t="shared" si="1"/>
        <v>0</v>
      </c>
      <c r="R10" s="514">
        <f t="shared" si="1"/>
        <v>0</v>
      </c>
      <c r="S10" s="489">
        <f>SUM(D10:R10)</f>
        <v>0</v>
      </c>
    </row>
    <row r="11" spans="1:19" x14ac:dyDescent="0.25">
      <c r="B11" s="513" t="s">
        <v>583</v>
      </c>
      <c r="C11" s="515">
        <f>Eingabeparameter!C88</f>
        <v>0</v>
      </c>
      <c r="D11" s="514">
        <f>(D7+D9+D10)*$C$11</f>
        <v>0</v>
      </c>
      <c r="E11" s="514">
        <f t="shared" ref="E11:R11" si="2">(E7+E9+E10)*$C$11</f>
        <v>0</v>
      </c>
      <c r="F11" s="514">
        <f t="shared" si="2"/>
        <v>0</v>
      </c>
      <c r="G11" s="514">
        <f t="shared" si="2"/>
        <v>0</v>
      </c>
      <c r="H11" s="514">
        <f t="shared" si="2"/>
        <v>0</v>
      </c>
      <c r="I11" s="514">
        <f t="shared" si="2"/>
        <v>0</v>
      </c>
      <c r="J11" s="514">
        <f t="shared" si="2"/>
        <v>0</v>
      </c>
      <c r="K11" s="514">
        <f t="shared" si="2"/>
        <v>0</v>
      </c>
      <c r="L11" s="514">
        <f t="shared" si="2"/>
        <v>0</v>
      </c>
      <c r="M11" s="514">
        <f t="shared" si="2"/>
        <v>0</v>
      </c>
      <c r="N11" s="514">
        <f t="shared" si="2"/>
        <v>0</v>
      </c>
      <c r="O11" s="514">
        <f t="shared" si="2"/>
        <v>0</v>
      </c>
      <c r="P11" s="514">
        <f t="shared" si="2"/>
        <v>0</v>
      </c>
      <c r="Q11" s="514">
        <f t="shared" si="2"/>
        <v>0</v>
      </c>
      <c r="R11" s="514">
        <f t="shared" si="2"/>
        <v>0</v>
      </c>
      <c r="S11" s="489">
        <f>SUM(D11:R11)</f>
        <v>0</v>
      </c>
    </row>
    <row r="12" spans="1:19" x14ac:dyDescent="0.25">
      <c r="D12" s="514"/>
      <c r="E12" s="514"/>
      <c r="F12" s="514"/>
      <c r="G12" s="514"/>
      <c r="H12" s="514"/>
      <c r="I12" s="514"/>
      <c r="J12" s="514"/>
      <c r="K12" s="514"/>
      <c r="L12" s="514"/>
      <c r="M12" s="514"/>
      <c r="N12" s="514"/>
      <c r="O12" s="514"/>
      <c r="P12" s="514"/>
      <c r="Q12" s="514"/>
      <c r="R12" s="514"/>
      <c r="S12" s="489"/>
    </row>
    <row r="13" spans="1:19" s="482" customFormat="1" x14ac:dyDescent="0.25">
      <c r="B13" s="482" t="s">
        <v>584</v>
      </c>
      <c r="D13" s="489">
        <f>D7+D9+D10+D11</f>
        <v>79751868.381325617</v>
      </c>
      <c r="E13" s="489">
        <f t="shared" ref="E13:R13" si="3">E7+E9+E10+E11</f>
        <v>79436152.724138156</v>
      </c>
      <c r="F13" s="489">
        <f t="shared" si="3"/>
        <v>79110965.597235069</v>
      </c>
      <c r="G13" s="489">
        <f t="shared" si="3"/>
        <v>78776022.856524885</v>
      </c>
      <c r="H13" s="489">
        <f t="shared" si="3"/>
        <v>78431031.833593413</v>
      </c>
      <c r="I13" s="489">
        <f t="shared" si="3"/>
        <v>78075691.079973981</v>
      </c>
      <c r="J13" s="489">
        <f t="shared" si="3"/>
        <v>77709690.103745967</v>
      </c>
      <c r="K13" s="489">
        <f t="shared" si="3"/>
        <v>77332709.098231122</v>
      </c>
      <c r="L13" s="489">
        <f t="shared" si="3"/>
        <v>76944418.662550822</v>
      </c>
      <c r="M13" s="489">
        <f t="shared" si="3"/>
        <v>76544479.513800129</v>
      </c>
      <c r="N13" s="489">
        <f t="shared" si="3"/>
        <v>76132542.190586895</v>
      </c>
      <c r="O13" s="489">
        <f t="shared" si="3"/>
        <v>75708246.747677281</v>
      </c>
      <c r="P13" s="489">
        <f t="shared" si="3"/>
        <v>75271222.441480368</v>
      </c>
      <c r="Q13" s="489">
        <f t="shared" si="3"/>
        <v>74821087.406097546</v>
      </c>
      <c r="R13" s="489">
        <f t="shared" si="3"/>
        <v>74357448.319653243</v>
      </c>
      <c r="S13" s="489">
        <f>SUM(D13:R13)</f>
        <v>1158403576.9566147</v>
      </c>
    </row>
    <row r="14" spans="1:19" x14ac:dyDescent="0.25">
      <c r="D14" s="514"/>
      <c r="E14" s="514"/>
      <c r="F14" s="514"/>
      <c r="G14" s="514"/>
      <c r="H14" s="514"/>
      <c r="I14" s="514"/>
      <c r="J14" s="514"/>
      <c r="K14" s="514"/>
      <c r="L14" s="514"/>
      <c r="M14" s="514"/>
      <c r="N14" s="514"/>
      <c r="O14" s="514"/>
      <c r="P14" s="514"/>
      <c r="Q14" s="514"/>
      <c r="R14" s="514"/>
      <c r="S14" s="489"/>
    </row>
    <row r="15" spans="1:19" x14ac:dyDescent="0.25">
      <c r="B15" s="513" t="s">
        <v>585</v>
      </c>
      <c r="D15" s="514">
        <f>'Kostenvergleich mit WBK'!B4</f>
        <v>1161966692.9330001</v>
      </c>
      <c r="E15" s="514">
        <f>'Kostenvergleich mit WBK'!C4</f>
        <v>1161966692.9330001</v>
      </c>
      <c r="F15" s="514">
        <f>'Kostenvergleich mit WBK'!D4</f>
        <v>1161966692.9330001</v>
      </c>
      <c r="G15" s="514">
        <f>'Kostenvergleich mit WBK'!E4</f>
        <v>1161966692.9330001</v>
      </c>
      <c r="H15" s="514">
        <f>'Kostenvergleich mit WBK'!F4</f>
        <v>1161966692.9330001</v>
      </c>
      <c r="I15" s="514">
        <f>'Kostenvergleich mit WBK'!G4</f>
        <v>1161966692.9330001</v>
      </c>
      <c r="J15" s="514">
        <f>'Kostenvergleich mit WBK'!H4</f>
        <v>1161966692.9330001</v>
      </c>
      <c r="K15" s="514">
        <f>'Kostenvergleich mit WBK'!I4</f>
        <v>1161966692.9330001</v>
      </c>
      <c r="L15" s="514">
        <f>'Kostenvergleich mit WBK'!J4</f>
        <v>1161966692.9330001</v>
      </c>
      <c r="M15" s="514">
        <f>'Kostenvergleich mit WBK'!K4</f>
        <v>1161966692.9330001</v>
      </c>
      <c r="N15" s="514">
        <f>'Kostenvergleich mit WBK'!L4</f>
        <v>1161966692.9330001</v>
      </c>
      <c r="O15" s="514">
        <f>'Kostenvergleich mit WBK'!M4</f>
        <v>1161966692.9330001</v>
      </c>
      <c r="P15" s="514">
        <f>'Kostenvergleich mit WBK'!N4</f>
        <v>1161966692.9330001</v>
      </c>
      <c r="Q15" s="514">
        <f>'Kostenvergleich mit WBK'!O4</f>
        <v>1161966692.9330001</v>
      </c>
      <c r="R15" s="514">
        <f>'Kostenvergleich mit WBK'!P4</f>
        <v>1161966692.9330001</v>
      </c>
      <c r="S15" s="489">
        <f>SUM(D15:R15)</f>
        <v>17429500393.995007</v>
      </c>
    </row>
    <row r="16" spans="1:19" x14ac:dyDescent="0.25">
      <c r="D16" s="514"/>
      <c r="E16" s="514"/>
      <c r="F16" s="514"/>
      <c r="G16" s="514"/>
      <c r="H16" s="514"/>
      <c r="I16" s="514"/>
      <c r="J16" s="514"/>
      <c r="K16" s="514"/>
      <c r="L16" s="514"/>
      <c r="M16" s="514"/>
      <c r="N16" s="514"/>
      <c r="O16" s="514"/>
      <c r="P16" s="514"/>
      <c r="Q16" s="514"/>
      <c r="R16" s="514"/>
      <c r="S16" s="489"/>
    </row>
    <row r="17" spans="2:19" x14ac:dyDescent="0.25">
      <c r="B17" s="513" t="s">
        <v>586</v>
      </c>
      <c r="D17" s="516">
        <f t="shared" ref="D17:S17" si="4">D13/D15</f>
        <v>6.8635244767660628E-2</v>
      </c>
      <c r="E17" s="516">
        <f t="shared" si="4"/>
        <v>6.8363536758207666E-2</v>
      </c>
      <c r="F17" s="516">
        <f t="shared" si="4"/>
        <v>6.8083677508471122E-2</v>
      </c>
      <c r="G17" s="516">
        <f t="shared" si="4"/>
        <v>6.7795422481242471E-2</v>
      </c>
      <c r="H17" s="516">
        <f t="shared" si="4"/>
        <v>6.7498519803196988E-2</v>
      </c>
      <c r="I17" s="516">
        <f t="shared" si="4"/>
        <v>6.7192710044810117E-2</v>
      </c>
      <c r="J17" s="516">
        <f t="shared" si="4"/>
        <v>6.687772599367163E-2</v>
      </c>
      <c r="K17" s="516">
        <f t="shared" si="4"/>
        <v>6.6553292420999013E-2</v>
      </c>
      <c r="L17" s="516">
        <f t="shared" si="4"/>
        <v>6.6219125841146198E-2</v>
      </c>
      <c r="M17" s="516">
        <f t="shared" si="4"/>
        <v>6.587493426389783E-2</v>
      </c>
      <c r="N17" s="516">
        <f t="shared" si="4"/>
        <v>6.5520416939331971E-2</v>
      </c>
      <c r="O17" s="516">
        <f t="shared" si="4"/>
        <v>6.5155264095029169E-2</v>
      </c>
      <c r="P17" s="516">
        <f t="shared" si="4"/>
        <v>6.4779156665397269E-2</v>
      </c>
      <c r="Q17" s="516">
        <f t="shared" si="4"/>
        <v>6.4391766012876397E-2</v>
      </c>
      <c r="R17" s="516">
        <f t="shared" si="4"/>
        <v>6.3992753640779915E-2</v>
      </c>
      <c r="S17" s="517">
        <f t="shared" si="4"/>
        <v>6.6462236482447881E-2</v>
      </c>
    </row>
    <row r="18" spans="2:19" x14ac:dyDescent="0.25">
      <c r="D18" s="514"/>
      <c r="E18" s="514"/>
      <c r="F18" s="514"/>
      <c r="G18" s="514"/>
      <c r="H18" s="514"/>
      <c r="I18" s="514"/>
      <c r="J18" s="514"/>
      <c r="K18" s="514"/>
      <c r="L18" s="514"/>
      <c r="M18" s="514"/>
      <c r="N18" s="514"/>
      <c r="O18" s="514"/>
      <c r="P18" s="514"/>
      <c r="Q18" s="514"/>
      <c r="R18" s="514"/>
      <c r="S18" s="514"/>
    </row>
    <row r="19" spans="2:19" x14ac:dyDescent="0.25">
      <c r="D19" s="514"/>
      <c r="E19" s="514"/>
      <c r="F19" s="514"/>
      <c r="G19" s="514"/>
      <c r="H19" s="514"/>
      <c r="I19" s="514"/>
      <c r="J19" s="514"/>
      <c r="K19" s="514"/>
      <c r="L19" s="514"/>
      <c r="M19" s="514"/>
      <c r="N19" s="514"/>
      <c r="O19" s="514"/>
      <c r="P19" s="514"/>
      <c r="Q19" s="514"/>
      <c r="R19" s="514"/>
      <c r="S19" s="514"/>
    </row>
    <row r="20" spans="2:19" x14ac:dyDescent="0.25">
      <c r="D20" s="514"/>
      <c r="E20" s="514"/>
      <c r="F20" s="514"/>
      <c r="G20" s="514"/>
      <c r="H20" s="514"/>
      <c r="I20" s="514"/>
      <c r="J20" s="514"/>
      <c r="K20" s="514"/>
      <c r="L20" s="514"/>
      <c r="M20" s="514"/>
      <c r="N20" s="514"/>
      <c r="O20" s="514"/>
      <c r="P20" s="514"/>
      <c r="Q20" s="514"/>
      <c r="R20" s="514"/>
      <c r="S20" s="514"/>
    </row>
    <row r="21" spans="2:19" x14ac:dyDescent="0.25">
      <c r="D21" s="514"/>
      <c r="E21" s="514"/>
      <c r="F21" s="514"/>
      <c r="G21" s="514"/>
      <c r="H21" s="514"/>
      <c r="I21" s="514"/>
      <c r="J21" s="514"/>
      <c r="K21" s="514"/>
      <c r="L21" s="514"/>
      <c r="M21" s="514"/>
      <c r="N21" s="514"/>
      <c r="O21" s="514"/>
      <c r="P21" s="514"/>
      <c r="Q21" s="514"/>
      <c r="R21" s="514"/>
      <c r="S21" s="514"/>
    </row>
    <row r="22" spans="2:19" x14ac:dyDescent="0.25">
      <c r="B22" s="866"/>
      <c r="D22" s="514"/>
      <c r="E22" s="514"/>
      <c r="F22" s="514"/>
      <c r="G22" s="514"/>
      <c r="H22" s="514"/>
      <c r="I22" s="514"/>
      <c r="J22" s="514"/>
      <c r="K22" s="514"/>
      <c r="L22" s="514"/>
      <c r="M22" s="514"/>
      <c r="N22" s="514"/>
      <c r="O22" s="514"/>
      <c r="P22" s="514"/>
      <c r="Q22" s="514"/>
      <c r="R22" s="514"/>
      <c r="S22" s="514"/>
    </row>
    <row r="23" spans="2:19" x14ac:dyDescent="0.25">
      <c r="B23" s="867"/>
      <c r="D23" s="514"/>
      <c r="E23" s="514"/>
      <c r="F23" s="514"/>
      <c r="G23" s="514"/>
      <c r="H23" s="514"/>
      <c r="I23" s="514"/>
      <c r="J23" s="514"/>
      <c r="K23" s="514"/>
      <c r="L23" s="514"/>
      <c r="M23" s="514"/>
      <c r="N23" s="514"/>
      <c r="O23" s="514"/>
      <c r="P23" s="514"/>
      <c r="Q23" s="514"/>
      <c r="R23" s="514"/>
      <c r="S23" s="514"/>
    </row>
    <row r="24" spans="2:19" x14ac:dyDescent="0.25">
      <c r="B24" s="867"/>
      <c r="D24" s="514"/>
      <c r="E24" s="514"/>
      <c r="F24" s="514"/>
      <c r="G24" s="514"/>
      <c r="H24" s="514"/>
      <c r="I24" s="514"/>
      <c r="J24" s="514"/>
      <c r="K24" s="514"/>
      <c r="L24" s="514"/>
      <c r="M24" s="514"/>
      <c r="N24" s="514"/>
      <c r="O24" s="514"/>
      <c r="P24" s="514"/>
      <c r="Q24" s="514"/>
      <c r="R24" s="514"/>
      <c r="S24" s="514"/>
    </row>
    <row r="25" spans="2:19" x14ac:dyDescent="0.25">
      <c r="B25" s="867"/>
      <c r="D25" s="514"/>
      <c r="E25" s="514"/>
      <c r="F25" s="514"/>
      <c r="G25" s="514"/>
      <c r="H25" s="514"/>
      <c r="I25" s="514"/>
      <c r="J25" s="514"/>
      <c r="K25" s="514"/>
      <c r="L25" s="514"/>
      <c r="M25" s="514"/>
      <c r="N25" s="514"/>
      <c r="O25" s="514"/>
      <c r="P25" s="514"/>
      <c r="Q25" s="514"/>
      <c r="R25" s="514"/>
      <c r="S25" s="514"/>
    </row>
    <row r="26" spans="2:19" x14ac:dyDescent="0.25">
      <c r="B26" s="867"/>
      <c r="D26" s="514"/>
      <c r="E26" s="514"/>
      <c r="F26" s="514"/>
      <c r="G26" s="514"/>
      <c r="H26" s="514"/>
      <c r="I26" s="514"/>
      <c r="J26" s="514"/>
      <c r="K26" s="514"/>
      <c r="L26" s="514"/>
      <c r="M26" s="514"/>
      <c r="N26" s="514"/>
      <c r="O26" s="514"/>
      <c r="P26" s="514"/>
      <c r="Q26" s="514"/>
      <c r="R26" s="514"/>
      <c r="S26" s="514"/>
    </row>
    <row r="27" spans="2:19" x14ac:dyDescent="0.25">
      <c r="D27" s="514"/>
      <c r="E27" s="514"/>
      <c r="F27" s="514"/>
      <c r="G27" s="514"/>
      <c r="H27" s="514"/>
      <c r="I27" s="514"/>
      <c r="J27" s="514"/>
      <c r="K27" s="514"/>
      <c r="L27" s="514"/>
      <c r="M27" s="514"/>
      <c r="N27" s="514"/>
      <c r="O27" s="514"/>
      <c r="P27" s="514"/>
      <c r="Q27" s="514"/>
      <c r="R27" s="514"/>
      <c r="S27" s="514"/>
    </row>
    <row r="28" spans="2:19" x14ac:dyDescent="0.25">
      <c r="D28" s="514"/>
      <c r="E28" s="514"/>
      <c r="F28" s="514"/>
      <c r="G28" s="514"/>
      <c r="H28" s="514"/>
      <c r="I28" s="514"/>
      <c r="J28" s="514"/>
      <c r="K28" s="514"/>
      <c r="L28" s="514"/>
      <c r="M28" s="514"/>
      <c r="N28" s="514"/>
      <c r="O28" s="514"/>
      <c r="P28" s="514"/>
      <c r="Q28" s="514"/>
      <c r="R28" s="514"/>
      <c r="S28" s="514"/>
    </row>
    <row r="29" spans="2:19" x14ac:dyDescent="0.25">
      <c r="D29" s="514"/>
      <c r="E29" s="514"/>
      <c r="F29" s="514"/>
      <c r="G29" s="514"/>
      <c r="H29" s="514"/>
      <c r="I29" s="514"/>
      <c r="J29" s="514"/>
      <c r="K29" s="514"/>
      <c r="L29" s="514"/>
      <c r="M29" s="514"/>
      <c r="N29" s="514"/>
      <c r="O29" s="514"/>
      <c r="P29" s="514"/>
      <c r="Q29" s="514"/>
      <c r="R29" s="514"/>
      <c r="S29" s="514"/>
    </row>
    <row r="30" spans="2:19" x14ac:dyDescent="0.25">
      <c r="D30" s="514"/>
      <c r="E30" s="514"/>
      <c r="F30" s="514"/>
      <c r="G30" s="514"/>
      <c r="H30" s="514"/>
      <c r="I30" s="514"/>
      <c r="J30" s="514"/>
      <c r="K30" s="514"/>
      <c r="L30" s="514"/>
      <c r="M30" s="514"/>
      <c r="N30" s="514"/>
      <c r="O30" s="514"/>
      <c r="P30" s="514"/>
      <c r="Q30" s="514"/>
      <c r="R30" s="514"/>
      <c r="S30" s="514"/>
    </row>
    <row r="31" spans="2:19" x14ac:dyDescent="0.25">
      <c r="D31" s="514"/>
      <c r="E31" s="514"/>
      <c r="F31" s="514"/>
      <c r="G31" s="514"/>
      <c r="H31" s="514"/>
      <c r="I31" s="514"/>
      <c r="J31" s="514"/>
      <c r="K31" s="514"/>
      <c r="L31" s="514"/>
      <c r="M31" s="514"/>
      <c r="N31" s="514"/>
      <c r="O31" s="514"/>
      <c r="P31" s="514"/>
      <c r="Q31" s="514"/>
      <c r="R31" s="514"/>
      <c r="S31" s="514"/>
    </row>
    <row r="32" spans="2:19" x14ac:dyDescent="0.25">
      <c r="D32" s="514"/>
      <c r="E32" s="514"/>
      <c r="F32" s="514"/>
      <c r="G32" s="514"/>
      <c r="H32" s="514"/>
      <c r="I32" s="514"/>
      <c r="J32" s="514"/>
      <c r="K32" s="514"/>
      <c r="L32" s="514"/>
      <c r="M32" s="514"/>
      <c r="N32" s="514"/>
      <c r="O32" s="514"/>
      <c r="P32" s="514"/>
      <c r="Q32" s="514"/>
      <c r="R32" s="514"/>
      <c r="S32" s="514"/>
    </row>
    <row r="33" spans="4:19" x14ac:dyDescent="0.25">
      <c r="D33" s="514"/>
      <c r="E33" s="514"/>
      <c r="F33" s="514"/>
      <c r="G33" s="514"/>
      <c r="H33" s="514"/>
      <c r="I33" s="514"/>
      <c r="J33" s="514"/>
      <c r="K33" s="514"/>
      <c r="L33" s="514"/>
      <c r="M33" s="514"/>
      <c r="N33" s="514"/>
      <c r="O33" s="514"/>
      <c r="P33" s="514"/>
      <c r="Q33" s="514"/>
      <c r="R33" s="514"/>
      <c r="S33" s="514"/>
    </row>
    <row r="34" spans="4:19" x14ac:dyDescent="0.25">
      <c r="D34" s="514"/>
      <c r="E34" s="514"/>
      <c r="F34" s="514"/>
      <c r="G34" s="514"/>
      <c r="H34" s="514"/>
      <c r="I34" s="514"/>
      <c r="J34" s="514"/>
      <c r="K34" s="514"/>
      <c r="L34" s="514"/>
      <c r="M34" s="514"/>
      <c r="N34" s="514"/>
      <c r="O34" s="514"/>
      <c r="P34" s="514"/>
      <c r="Q34" s="514"/>
      <c r="R34" s="514"/>
      <c r="S34" s="514"/>
    </row>
    <row r="35" spans="4:19" x14ac:dyDescent="0.25">
      <c r="D35" s="514"/>
      <c r="E35" s="514"/>
      <c r="F35" s="514"/>
      <c r="G35" s="514"/>
      <c r="H35" s="514"/>
      <c r="I35" s="514"/>
      <c r="J35" s="514"/>
      <c r="K35" s="514"/>
      <c r="L35" s="514"/>
      <c r="M35" s="514"/>
      <c r="N35" s="514"/>
      <c r="O35" s="514"/>
      <c r="P35" s="514"/>
      <c r="Q35" s="514"/>
      <c r="R35" s="514"/>
      <c r="S35" s="514"/>
    </row>
    <row r="36" spans="4:19" x14ac:dyDescent="0.25">
      <c r="D36" s="514"/>
      <c r="E36" s="514"/>
      <c r="F36" s="514"/>
      <c r="G36" s="514"/>
      <c r="H36" s="514"/>
      <c r="I36" s="514"/>
      <c r="J36" s="514"/>
      <c r="K36" s="514"/>
      <c r="L36" s="514"/>
      <c r="M36" s="514"/>
      <c r="N36" s="514"/>
      <c r="O36" s="514"/>
      <c r="P36" s="514"/>
      <c r="Q36" s="514"/>
      <c r="R36" s="514"/>
      <c r="S36" s="514"/>
    </row>
    <row r="37" spans="4:19" x14ac:dyDescent="0.25">
      <c r="D37" s="514"/>
      <c r="E37" s="514"/>
      <c r="F37" s="514"/>
      <c r="G37" s="514"/>
      <c r="H37" s="514"/>
      <c r="I37" s="514"/>
      <c r="J37" s="514"/>
      <c r="K37" s="514"/>
      <c r="L37" s="514"/>
      <c r="M37" s="514"/>
      <c r="N37" s="514"/>
      <c r="O37" s="514"/>
      <c r="P37" s="514"/>
      <c r="Q37" s="514"/>
      <c r="R37" s="514"/>
      <c r="S37" s="514"/>
    </row>
    <row r="38" spans="4:19" x14ac:dyDescent="0.25">
      <c r="D38" s="514"/>
      <c r="E38" s="514"/>
      <c r="F38" s="514"/>
      <c r="G38" s="514"/>
      <c r="H38" s="514"/>
      <c r="I38" s="514"/>
      <c r="J38" s="514"/>
      <c r="K38" s="514"/>
      <c r="L38" s="514"/>
      <c r="M38" s="514"/>
      <c r="N38" s="514"/>
      <c r="O38" s="514"/>
      <c r="P38" s="514"/>
      <c r="Q38" s="514"/>
      <c r="R38" s="514"/>
      <c r="S38" s="514"/>
    </row>
    <row r="39" spans="4:19" x14ac:dyDescent="0.25">
      <c r="D39" s="514"/>
      <c r="E39" s="514"/>
      <c r="F39" s="514"/>
      <c r="G39" s="514"/>
      <c r="H39" s="514"/>
      <c r="I39" s="514"/>
      <c r="J39" s="514"/>
      <c r="K39" s="514"/>
      <c r="L39" s="514"/>
      <c r="M39" s="514"/>
      <c r="N39" s="514"/>
      <c r="O39" s="514"/>
      <c r="P39" s="514"/>
      <c r="Q39" s="514"/>
      <c r="R39" s="514"/>
      <c r="S39" s="514"/>
    </row>
    <row r="40" spans="4:19" x14ac:dyDescent="0.25">
      <c r="D40" s="514"/>
      <c r="E40" s="514"/>
      <c r="F40" s="514"/>
      <c r="G40" s="514"/>
      <c r="H40" s="514"/>
      <c r="I40" s="514"/>
      <c r="J40" s="514"/>
      <c r="K40" s="514"/>
      <c r="L40" s="514"/>
      <c r="M40" s="514"/>
      <c r="N40" s="514"/>
      <c r="O40" s="514"/>
      <c r="P40" s="514"/>
      <c r="Q40" s="514"/>
      <c r="R40" s="514"/>
      <c r="S40" s="514"/>
    </row>
    <row r="41" spans="4:19" x14ac:dyDescent="0.25">
      <c r="D41" s="514"/>
      <c r="E41" s="514"/>
      <c r="F41" s="514"/>
      <c r="G41" s="514"/>
      <c r="H41" s="514"/>
      <c r="I41" s="514"/>
      <c r="J41" s="514"/>
      <c r="K41" s="514"/>
      <c r="L41" s="514"/>
      <c r="M41" s="514"/>
      <c r="N41" s="514"/>
      <c r="O41" s="514"/>
      <c r="P41" s="514"/>
      <c r="Q41" s="514"/>
      <c r="R41" s="514"/>
      <c r="S41" s="514"/>
    </row>
    <row r="42" spans="4:19" x14ac:dyDescent="0.25">
      <c r="D42" s="514"/>
      <c r="E42" s="514"/>
      <c r="F42" s="514"/>
      <c r="G42" s="514"/>
      <c r="H42" s="514"/>
      <c r="I42" s="514"/>
      <c r="J42" s="514"/>
      <c r="K42" s="514"/>
      <c r="L42" s="514"/>
      <c r="M42" s="514"/>
      <c r="N42" s="514"/>
      <c r="O42" s="514"/>
      <c r="P42" s="514"/>
      <c r="Q42" s="514"/>
      <c r="R42" s="514"/>
      <c r="S42" s="514"/>
    </row>
    <row r="43" spans="4:19" x14ac:dyDescent="0.25">
      <c r="D43" s="514"/>
      <c r="E43" s="514"/>
      <c r="F43" s="514"/>
      <c r="G43" s="514"/>
      <c r="H43" s="514"/>
      <c r="I43" s="514"/>
      <c r="J43" s="514"/>
      <c r="K43" s="514"/>
      <c r="L43" s="514"/>
      <c r="M43" s="514"/>
      <c r="N43" s="514"/>
      <c r="O43" s="514"/>
      <c r="P43" s="514"/>
      <c r="Q43" s="514"/>
      <c r="R43" s="514"/>
      <c r="S43" s="514"/>
    </row>
  </sheetData>
  <sheetProtection sheet="1" objects="1" scenarios="1"/>
  <printOptions horizontalCentered="1" verticalCentered="1"/>
  <pageMargins left="0.70866141732283472" right="0.70866141732283472" top="0.98425196850393704" bottom="0.78740157480314965" header="0.31496062992125984" footer="0.31496062992125984"/>
  <pageSetup paperSize="8" scale="78"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F22"/>
  <sheetViews>
    <sheetView zoomScale="85" zoomScaleNormal="85" workbookViewId="0"/>
  </sheetViews>
  <sheetFormatPr baseColWidth="10" defaultColWidth="11.42578125" defaultRowHeight="14.25" x14ac:dyDescent="0.25"/>
  <cols>
    <col min="1" max="1" width="2" style="365" customWidth="1"/>
    <col min="2" max="4" width="17.7109375" style="365" customWidth="1"/>
    <col min="5" max="5" width="21.7109375" style="365" customWidth="1"/>
    <col min="6" max="6" width="140.7109375" style="365" customWidth="1"/>
    <col min="7" max="16384" width="11.42578125" style="365"/>
  </cols>
  <sheetData>
    <row r="1" spans="1:6" s="419" customFormat="1" ht="30" customHeight="1" thickBot="1" x14ac:dyDescent="0.3">
      <c r="A1" s="418" t="s">
        <v>43</v>
      </c>
      <c r="F1" s="421"/>
    </row>
    <row r="2" spans="1:6" s="419" customFormat="1" ht="90" customHeight="1" thickBot="1" x14ac:dyDescent="0.3">
      <c r="B2" s="1052" t="s">
        <v>44</v>
      </c>
      <c r="C2" s="1053"/>
      <c r="D2" s="1053"/>
      <c r="E2" s="1053"/>
      <c r="F2" s="1054"/>
    </row>
    <row r="3" spans="1:6" s="419" customFormat="1" ht="9.9499999999999993" customHeight="1" thickBot="1" x14ac:dyDescent="0.3">
      <c r="B3" s="425"/>
      <c r="F3" s="423"/>
    </row>
    <row r="4" spans="1:6" s="419" customFormat="1" ht="15" customHeight="1" x14ac:dyDescent="0.25">
      <c r="A4" s="427"/>
      <c r="B4" s="1006" t="s">
        <v>25</v>
      </c>
      <c r="C4" s="1007"/>
      <c r="D4" s="1007"/>
      <c r="E4" s="1083" t="s">
        <v>48</v>
      </c>
      <c r="F4" s="1077" t="s">
        <v>8</v>
      </c>
    </row>
    <row r="5" spans="1:6" ht="18" customHeight="1" x14ac:dyDescent="0.25">
      <c r="A5" s="430"/>
      <c r="B5" s="1009"/>
      <c r="C5" s="1010"/>
      <c r="D5" s="1010"/>
      <c r="E5" s="1084"/>
      <c r="F5" s="1078"/>
    </row>
    <row r="6" spans="1:6" ht="18" customHeight="1" thickBot="1" x14ac:dyDescent="0.3">
      <c r="A6" s="430"/>
      <c r="B6" s="1012"/>
      <c r="C6" s="1013"/>
      <c r="D6" s="1013"/>
      <c r="E6" s="1085"/>
      <c r="F6" s="1079"/>
    </row>
    <row r="7" spans="1:6" ht="39.950000000000003" customHeight="1" x14ac:dyDescent="0.25">
      <c r="B7" s="1070" t="s">
        <v>54</v>
      </c>
      <c r="C7" s="1071"/>
      <c r="D7" s="1072"/>
      <c r="E7" s="518">
        <f>Eingabeparameter!F5</f>
        <v>9</v>
      </c>
      <c r="F7" s="519" t="s">
        <v>716</v>
      </c>
    </row>
    <row r="8" spans="1:6" ht="39.950000000000003" customHeight="1" x14ac:dyDescent="0.25">
      <c r="B8" s="1070" t="s">
        <v>356</v>
      </c>
      <c r="C8" s="1071"/>
      <c r="D8" s="1072"/>
      <c r="E8" s="518">
        <f>Eingabeparameter!F8</f>
        <v>9</v>
      </c>
      <c r="F8" s="520"/>
    </row>
    <row r="9" spans="1:6" ht="39.950000000000003" customHeight="1" x14ac:dyDescent="0.25">
      <c r="B9" s="1089" t="s">
        <v>354</v>
      </c>
      <c r="C9" s="1090"/>
      <c r="D9" s="1091"/>
      <c r="E9" s="518">
        <f>Eingabeparameter!F9</f>
        <v>9</v>
      </c>
      <c r="F9" s="520"/>
    </row>
    <row r="10" spans="1:6" ht="39.950000000000003" customHeight="1" x14ac:dyDescent="0.25">
      <c r="B10" s="1058" t="s">
        <v>45</v>
      </c>
      <c r="C10" s="1059"/>
      <c r="D10" s="1060"/>
      <c r="E10" s="518">
        <f>Eingabeparameter!F11</f>
        <v>5</v>
      </c>
      <c r="F10" s="520" t="s">
        <v>49</v>
      </c>
    </row>
    <row r="11" spans="1:6" ht="39.950000000000003" customHeight="1" x14ac:dyDescent="0.25">
      <c r="B11" s="1086" t="s">
        <v>320</v>
      </c>
      <c r="C11" s="1087"/>
      <c r="D11" s="1088"/>
      <c r="E11" s="518">
        <f>Eingabeparameter!F12</f>
        <v>3</v>
      </c>
      <c r="F11" s="520" t="s">
        <v>717</v>
      </c>
    </row>
    <row r="12" spans="1:6" ht="39.950000000000003" customHeight="1" x14ac:dyDescent="0.25">
      <c r="B12" s="1058" t="s">
        <v>46</v>
      </c>
      <c r="C12" s="1059"/>
      <c r="D12" s="1060"/>
      <c r="E12" s="518">
        <f>Eingabeparameter!F14</f>
        <v>15</v>
      </c>
      <c r="F12" s="520" t="s">
        <v>50</v>
      </c>
    </row>
    <row r="13" spans="1:6" ht="39.950000000000003" customHeight="1" x14ac:dyDescent="0.25">
      <c r="B13" s="1086" t="s">
        <v>313</v>
      </c>
      <c r="C13" s="1087"/>
      <c r="D13" s="1088"/>
      <c r="E13" s="518">
        <f>Eingabeparameter!F16</f>
        <v>15</v>
      </c>
      <c r="F13" s="520"/>
    </row>
    <row r="14" spans="1:6" ht="39.950000000000003" customHeight="1" x14ac:dyDescent="0.25">
      <c r="B14" s="1086" t="s">
        <v>314</v>
      </c>
      <c r="C14" s="1087"/>
      <c r="D14" s="1088"/>
      <c r="E14" s="518">
        <f>Eingabeparameter!F18</f>
        <v>9</v>
      </c>
      <c r="F14" s="520"/>
    </row>
    <row r="15" spans="1:6" ht="39.950000000000003" customHeight="1" x14ac:dyDescent="0.25">
      <c r="B15" s="1086" t="s">
        <v>587</v>
      </c>
      <c r="C15" s="1087"/>
      <c r="D15" s="1088"/>
      <c r="E15" s="518">
        <f>Eingabeparameter!F19</f>
        <v>9</v>
      </c>
      <c r="F15" s="520"/>
    </row>
    <row r="16" spans="1:6" ht="114.75" x14ac:dyDescent="0.25">
      <c r="B16" s="1058" t="s">
        <v>51</v>
      </c>
      <c r="C16" s="1059"/>
      <c r="D16" s="1060"/>
      <c r="E16" s="518">
        <f>Eingabeparameter!F4</f>
        <v>18</v>
      </c>
      <c r="F16" s="520" t="s">
        <v>52</v>
      </c>
    </row>
    <row r="17" spans="2:6" ht="35.25" customHeight="1" x14ac:dyDescent="0.25">
      <c r="B17" s="1070" t="s">
        <v>374</v>
      </c>
      <c r="C17" s="1071"/>
      <c r="D17" s="1072"/>
      <c r="E17" s="518">
        <f>Eingabeparameter!F21</f>
        <v>3</v>
      </c>
      <c r="F17" s="520" t="s">
        <v>63</v>
      </c>
    </row>
    <row r="18" spans="2:6" ht="35.25" customHeight="1" x14ac:dyDescent="0.25">
      <c r="B18" s="1070" t="s">
        <v>375</v>
      </c>
      <c r="C18" s="1071"/>
      <c r="D18" s="1072"/>
      <c r="E18" s="518">
        <f>Eingabeparameter!F22</f>
        <v>3</v>
      </c>
      <c r="F18" s="520" t="s">
        <v>718</v>
      </c>
    </row>
    <row r="19" spans="2:6" ht="35.25" customHeight="1" x14ac:dyDescent="0.25">
      <c r="B19" s="1070" t="s">
        <v>419</v>
      </c>
      <c r="C19" s="1071"/>
      <c r="D19" s="1072"/>
      <c r="E19" s="518">
        <f>Eingabeparameter!F24</f>
        <v>5</v>
      </c>
      <c r="F19" s="520"/>
    </row>
    <row r="20" spans="2:6" ht="39.950000000000003" customHeight="1" thickBot="1" x14ac:dyDescent="0.3">
      <c r="B20" s="1080" t="s">
        <v>61</v>
      </c>
      <c r="C20" s="1081"/>
      <c r="D20" s="1082"/>
      <c r="E20" s="521">
        <v>5</v>
      </c>
      <c r="F20" s="520" t="s">
        <v>719</v>
      </c>
    </row>
    <row r="21" spans="2:6" s="419" customFormat="1" ht="9.9499999999999993" customHeight="1" x14ac:dyDescent="0.25">
      <c r="B21" s="458"/>
      <c r="C21" s="458"/>
      <c r="D21" s="458"/>
    </row>
    <row r="22" spans="2:6" ht="20.100000000000001" customHeight="1" x14ac:dyDescent="0.25">
      <c r="F22" s="419"/>
    </row>
  </sheetData>
  <sheetProtection sheet="1" objects="1" scenarios="1"/>
  <mergeCells count="18">
    <mergeCell ref="B20:D20"/>
    <mergeCell ref="E4:E6"/>
    <mergeCell ref="B7:D7"/>
    <mergeCell ref="B10:D10"/>
    <mergeCell ref="B12:D12"/>
    <mergeCell ref="B16:D16"/>
    <mergeCell ref="B13:D13"/>
    <mergeCell ref="B14:D14"/>
    <mergeCell ref="B11:D11"/>
    <mergeCell ref="B8:D8"/>
    <mergeCell ref="B9:D9"/>
    <mergeCell ref="B19:D19"/>
    <mergeCell ref="B15:D15"/>
    <mergeCell ref="B2:F2"/>
    <mergeCell ref="B4:D6"/>
    <mergeCell ref="F4:F6"/>
    <mergeCell ref="B18:D18"/>
    <mergeCell ref="B17:D17"/>
  </mergeCells>
  <printOptions horizontalCentered="1" verticalCentered="1"/>
  <pageMargins left="0.70866141732283472" right="0.70866141732283472" top="0.98425196850393704" bottom="0.78740157480314965" header="0.31496062992125984" footer="0.31496062992125984"/>
  <pageSetup paperSize="8" scale="88"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L10"/>
  <sheetViews>
    <sheetView zoomScaleNormal="100" workbookViewId="0"/>
  </sheetViews>
  <sheetFormatPr baseColWidth="10" defaultColWidth="11.42578125" defaultRowHeight="14.25" x14ac:dyDescent="0.25"/>
  <cols>
    <col min="1" max="1" width="2" style="365" customWidth="1"/>
    <col min="2" max="4" width="17.7109375" style="365" customWidth="1"/>
    <col min="5" max="5" width="25.7109375" style="365" customWidth="1"/>
    <col min="6" max="6" width="25.7109375" style="430" customWidth="1"/>
    <col min="7" max="7" width="25.7109375" style="365" customWidth="1"/>
    <col min="8" max="8" width="34.140625" style="365" customWidth="1"/>
    <col min="9" max="10" width="22.7109375" style="365" customWidth="1"/>
    <col min="11" max="11" width="7.7109375" style="365" customWidth="1"/>
    <col min="12" max="16384" width="11.42578125" style="365"/>
  </cols>
  <sheetData>
    <row r="1" spans="1:12" s="419" customFormat="1" ht="30" customHeight="1" thickBot="1" x14ac:dyDescent="0.3">
      <c r="A1" s="418" t="s">
        <v>31</v>
      </c>
      <c r="F1" s="420"/>
      <c r="G1" s="421"/>
      <c r="H1" s="522"/>
      <c r="I1" s="522"/>
      <c r="J1" s="522"/>
      <c r="K1" s="522"/>
      <c r="L1" s="523"/>
    </row>
    <row r="2" spans="1:12" s="419" customFormat="1" ht="61.5" customHeight="1" thickBot="1" x14ac:dyDescent="0.3">
      <c r="B2" s="1052" t="s">
        <v>715</v>
      </c>
      <c r="C2" s="1053"/>
      <c r="D2" s="1053"/>
      <c r="E2" s="1053"/>
      <c r="F2" s="1053"/>
      <c r="G2" s="1054"/>
      <c r="H2" s="524"/>
      <c r="I2" s="524"/>
      <c r="J2" s="524"/>
      <c r="K2" s="524"/>
      <c r="L2" s="523"/>
    </row>
    <row r="3" spans="1:12" s="419" customFormat="1" ht="9.9499999999999993" customHeight="1" thickBot="1" x14ac:dyDescent="0.3">
      <c r="B3" s="425"/>
      <c r="F3" s="420"/>
      <c r="G3" s="423"/>
      <c r="H3" s="423"/>
      <c r="I3" s="423"/>
      <c r="J3" s="423"/>
      <c r="K3" s="424"/>
    </row>
    <row r="4" spans="1:12" s="419" customFormat="1" ht="15" customHeight="1" x14ac:dyDescent="0.25">
      <c r="A4" s="427"/>
      <c r="B4" s="1006" t="s">
        <v>25</v>
      </c>
      <c r="C4" s="1007"/>
      <c r="D4" s="1008"/>
      <c r="E4" s="1006" t="s">
        <v>6</v>
      </c>
      <c r="F4" s="1055" t="s">
        <v>21</v>
      </c>
      <c r="G4" s="1018" t="s">
        <v>22</v>
      </c>
      <c r="H4" s="1022"/>
      <c r="I4" s="525"/>
      <c r="J4" s="525"/>
      <c r="K4" s="525"/>
    </row>
    <row r="5" spans="1:12" ht="18" customHeight="1" x14ac:dyDescent="0.25">
      <c r="A5" s="430"/>
      <c r="B5" s="1009"/>
      <c r="C5" s="1010"/>
      <c r="D5" s="1011"/>
      <c r="E5" s="1009"/>
      <c r="F5" s="1022"/>
      <c r="G5" s="1056"/>
      <c r="H5" s="1022"/>
      <c r="I5" s="525"/>
      <c r="J5" s="525"/>
      <c r="K5" s="525"/>
    </row>
    <row r="6" spans="1:12" ht="18" customHeight="1" thickBot="1" x14ac:dyDescent="0.3">
      <c r="A6" s="430"/>
      <c r="B6" s="1012"/>
      <c r="C6" s="1013"/>
      <c r="D6" s="1014"/>
      <c r="E6" s="1012"/>
      <c r="F6" s="1023"/>
      <c r="G6" s="1057"/>
      <c r="H6" s="1022"/>
      <c r="I6" s="525"/>
      <c r="J6" s="525"/>
      <c r="K6" s="525"/>
    </row>
    <row r="7" spans="1:12" ht="42.95" customHeight="1" x14ac:dyDescent="0.25">
      <c r="B7" s="1067" t="s">
        <v>32</v>
      </c>
      <c r="C7" s="1068"/>
      <c r="D7" s="1069"/>
      <c r="E7" s="461">
        <f>Eingabeparameter!C8</f>
        <v>27117</v>
      </c>
      <c r="F7" s="433">
        <f>Eingabeparameter!C35-Eingabeparameter!C35*Eingabeparameter!D35</f>
        <v>100</v>
      </c>
      <c r="G7" s="526">
        <f>E7*F7</f>
        <v>2711700</v>
      </c>
      <c r="H7" s="527"/>
      <c r="I7" s="527"/>
      <c r="J7" s="527"/>
      <c r="K7" s="527"/>
    </row>
    <row r="8" spans="1:12" ht="42.95" customHeight="1" thickBot="1" x14ac:dyDescent="0.3">
      <c r="B8" s="1073" t="s">
        <v>33</v>
      </c>
      <c r="C8" s="1074"/>
      <c r="D8" s="1075"/>
      <c r="E8" s="447">
        <f>Eingabeparameter!C11</f>
        <v>1569</v>
      </c>
      <c r="F8" s="448">
        <f>Eingabeparameter!C35-Eingabeparameter!C35*Eingabeparameter!D35</f>
        <v>100</v>
      </c>
      <c r="G8" s="528">
        <f>E8*F8</f>
        <v>156900</v>
      </c>
      <c r="H8" s="527"/>
      <c r="I8" s="527"/>
      <c r="J8" s="527"/>
      <c r="K8" s="527"/>
    </row>
    <row r="9" spans="1:12" s="419" customFormat="1" ht="24.95" customHeight="1" x14ac:dyDescent="0.25">
      <c r="B9" s="1092" t="s">
        <v>26</v>
      </c>
      <c r="C9" s="1092"/>
      <c r="D9" s="1092"/>
      <c r="E9" s="529">
        <f>SUM(E7:E8)</f>
        <v>28686</v>
      </c>
      <c r="F9" s="530"/>
      <c r="G9" s="531">
        <f>SUM(G7:G8)</f>
        <v>2868600</v>
      </c>
    </row>
    <row r="10" spans="1:12" s="419" customFormat="1" ht="9.9499999999999993" customHeight="1" x14ac:dyDescent="0.25">
      <c r="B10" s="458"/>
      <c r="C10" s="458"/>
      <c r="D10" s="458"/>
      <c r="F10" s="459"/>
    </row>
  </sheetData>
  <sheetProtection sheet="1" objects="1" scenarios="1"/>
  <mergeCells count="9">
    <mergeCell ref="H4:H6"/>
    <mergeCell ref="B9:D9"/>
    <mergeCell ref="B2:G2"/>
    <mergeCell ref="B7:D7"/>
    <mergeCell ref="B8:D8"/>
    <mergeCell ref="B4:D6"/>
    <mergeCell ref="E4:E6"/>
    <mergeCell ref="F4:F6"/>
    <mergeCell ref="G4:G6"/>
  </mergeCells>
  <printOptions horizontalCentered="1" verticalCentered="1"/>
  <pageMargins left="0.70866141732283472" right="0.70866141732283472" top="0.98425196850393704" bottom="0.78740157480314965" header="0.31496062992125984" footer="0.31496062992125984"/>
  <pageSetup paperSize="8"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P26"/>
  <sheetViews>
    <sheetView zoomScale="70" zoomScaleNormal="70" workbookViewId="0"/>
  </sheetViews>
  <sheetFormatPr baseColWidth="10" defaultColWidth="11.42578125" defaultRowHeight="14.25" x14ac:dyDescent="0.25"/>
  <cols>
    <col min="1" max="1" width="2" style="365" customWidth="1"/>
    <col min="2" max="3" width="17.7109375" style="365" customWidth="1"/>
    <col min="4" max="4" width="20.5703125" style="365" customWidth="1"/>
    <col min="5" max="6" width="17.7109375" style="430" customWidth="1"/>
    <col min="7" max="7" width="17.7109375" style="365" customWidth="1"/>
    <col min="8" max="8" width="22.28515625" style="365" customWidth="1"/>
    <col min="9" max="11" width="17.7109375" style="365" customWidth="1"/>
    <col min="12" max="12" width="71.42578125" style="365" customWidth="1"/>
    <col min="13" max="14" width="22.7109375" style="365" customWidth="1"/>
    <col min="15" max="15" width="7.7109375" style="365" customWidth="1"/>
    <col min="16" max="16384" width="11.42578125" style="365"/>
  </cols>
  <sheetData>
    <row r="1" spans="1:16" s="419" customFormat="1" ht="30" customHeight="1" x14ac:dyDescent="0.25">
      <c r="A1" s="418" t="s">
        <v>34</v>
      </c>
      <c r="E1" s="420"/>
      <c r="F1" s="420"/>
      <c r="G1" s="421"/>
      <c r="H1" s="421"/>
      <c r="I1" s="421"/>
      <c r="J1" s="421"/>
      <c r="K1" s="421"/>
      <c r="L1" s="522"/>
      <c r="M1" s="522"/>
      <c r="N1" s="522"/>
      <c r="O1" s="522"/>
      <c r="P1" s="523"/>
    </row>
    <row r="2" spans="1:16" s="419" customFormat="1" ht="30" customHeight="1" thickBot="1" x14ac:dyDescent="0.3">
      <c r="A2" s="418"/>
      <c r="E2" s="420"/>
      <c r="F2" s="420"/>
      <c r="G2" s="421"/>
      <c r="H2" s="421"/>
      <c r="I2" s="421"/>
      <c r="J2" s="421"/>
      <c r="K2" s="421"/>
      <c r="L2" s="522"/>
      <c r="M2" s="522"/>
      <c r="N2" s="522"/>
      <c r="O2" s="522"/>
      <c r="P2" s="523"/>
    </row>
    <row r="3" spans="1:16" s="419" customFormat="1" ht="59.25" customHeight="1" thickBot="1" x14ac:dyDescent="0.3">
      <c r="B3" s="1052" t="s">
        <v>41</v>
      </c>
      <c r="C3" s="1053"/>
      <c r="D3" s="1053"/>
      <c r="E3" s="1053"/>
      <c r="F3" s="1053"/>
      <c r="G3" s="1053"/>
      <c r="H3" s="1053"/>
      <c r="I3" s="1053"/>
      <c r="J3" s="1053"/>
      <c r="K3" s="1053"/>
      <c r="L3" s="1054"/>
      <c r="M3" s="524"/>
      <c r="N3" s="524"/>
      <c r="O3" s="524"/>
      <c r="P3" s="523"/>
    </row>
    <row r="4" spans="1:16" s="419" customFormat="1" ht="9.9499999999999993" customHeight="1" thickBot="1" x14ac:dyDescent="0.3">
      <c r="B4" s="425"/>
      <c r="E4" s="420"/>
      <c r="F4" s="420"/>
      <c r="G4" s="423"/>
      <c r="H4" s="423"/>
      <c r="I4" s="423"/>
      <c r="J4" s="423"/>
      <c r="K4" s="423"/>
      <c r="L4" s="423"/>
      <c r="M4" s="423"/>
      <c r="N4" s="423"/>
      <c r="O4" s="424"/>
    </row>
    <row r="5" spans="1:16" s="419" customFormat="1" ht="15" customHeight="1" x14ac:dyDescent="0.25">
      <c r="A5" s="427"/>
      <c r="B5" s="1006" t="s">
        <v>25</v>
      </c>
      <c r="C5" s="1007"/>
      <c r="D5" s="1008"/>
      <c r="E5" s="1055" t="s">
        <v>36</v>
      </c>
      <c r="F5" s="1097" t="s">
        <v>64</v>
      </c>
      <c r="G5" s="1018" t="s">
        <v>65</v>
      </c>
      <c r="H5" s="1097" t="s">
        <v>67</v>
      </c>
      <c r="I5" s="1018" t="s">
        <v>68</v>
      </c>
      <c r="J5" s="1021" t="s">
        <v>38</v>
      </c>
      <c r="K5" s="1095"/>
      <c r="L5" s="525"/>
      <c r="M5" s="525"/>
      <c r="N5" s="525"/>
    </row>
    <row r="6" spans="1:16" ht="18" customHeight="1" x14ac:dyDescent="0.25">
      <c r="A6" s="430"/>
      <c r="B6" s="1009"/>
      <c r="C6" s="1010"/>
      <c r="D6" s="1011"/>
      <c r="E6" s="1022"/>
      <c r="F6" s="1009"/>
      <c r="G6" s="1056"/>
      <c r="H6" s="1009"/>
      <c r="I6" s="1056"/>
      <c r="J6" s="1022"/>
      <c r="K6" s="1096"/>
      <c r="L6" s="525"/>
      <c r="M6" s="525"/>
      <c r="N6" s="525"/>
    </row>
    <row r="7" spans="1:16" ht="18" customHeight="1" thickBot="1" x14ac:dyDescent="0.3">
      <c r="A7" s="430"/>
      <c r="B7" s="1009"/>
      <c r="C7" s="1010"/>
      <c r="D7" s="1011"/>
      <c r="E7" s="1022"/>
      <c r="F7" s="1009"/>
      <c r="G7" s="1056"/>
      <c r="H7" s="1009"/>
      <c r="I7" s="1056"/>
      <c r="J7" s="1022"/>
      <c r="K7" s="1096"/>
      <c r="L7" s="525"/>
      <c r="M7" s="525"/>
      <c r="N7" s="525"/>
    </row>
    <row r="8" spans="1:16" ht="42.95" customHeight="1" x14ac:dyDescent="0.25">
      <c r="B8" s="1067" t="s">
        <v>35</v>
      </c>
      <c r="C8" s="1068"/>
      <c r="D8" s="1068"/>
      <c r="E8" s="532">
        <f>Eingabeparameter!C39</f>
        <v>1.07</v>
      </c>
      <c r="F8" s="533">
        <f>SUM(Übersicht!C59:C61)</f>
        <v>4350000</v>
      </c>
      <c r="G8" s="534">
        <f>E8*F8</f>
        <v>4654500</v>
      </c>
      <c r="H8" s="535">
        <f>SUM(Übersicht!$C$59*Eingabeparameter!$C$41+Übersicht!$C$60*Eingabeparameter!$C$42+Übersicht!$C$61*Eingabeparameter!$C$43)</f>
        <v>1110000</v>
      </c>
      <c r="I8" s="535">
        <f>E8*H8</f>
        <v>1187700</v>
      </c>
      <c r="J8" s="1100" t="s">
        <v>70</v>
      </c>
      <c r="K8" s="1101"/>
      <c r="L8" s="527"/>
      <c r="M8" s="527"/>
      <c r="N8" s="527"/>
    </row>
    <row r="9" spans="1:16" ht="42.95" customHeight="1" x14ac:dyDescent="0.25">
      <c r="B9" s="1058" t="s">
        <v>39</v>
      </c>
      <c r="C9" s="1059"/>
      <c r="D9" s="1059"/>
      <c r="E9" s="536">
        <f>Eingabeparameter!D39</f>
        <v>1.69</v>
      </c>
      <c r="F9" s="537">
        <f>SUM(Übersicht!C59:C61)</f>
        <v>4350000</v>
      </c>
      <c r="G9" s="443">
        <f>E9*F9</f>
        <v>7351500</v>
      </c>
      <c r="H9" s="538">
        <f>SUM(Übersicht!$C$59*Eingabeparameter!$C$41+Übersicht!$C$60*Eingabeparameter!$C$42+Übersicht!$C$61*Eingabeparameter!$C$43)</f>
        <v>1110000</v>
      </c>
      <c r="I9" s="538">
        <f>E9*H9</f>
        <v>1875900</v>
      </c>
      <c r="J9" s="1102" t="s">
        <v>69</v>
      </c>
      <c r="K9" s="1103"/>
      <c r="L9" s="527"/>
      <c r="M9" s="527"/>
      <c r="N9" s="527"/>
    </row>
    <row r="10" spans="1:16" ht="42.95" customHeight="1" thickBot="1" x14ac:dyDescent="0.3">
      <c r="B10" s="1073" t="s">
        <v>37</v>
      </c>
      <c r="C10" s="1074"/>
      <c r="D10" s="1074"/>
      <c r="E10" s="539">
        <f>Eingabeparameter!E39</f>
        <v>1</v>
      </c>
      <c r="F10" s="540">
        <f>SUM(Übersicht!C59:C61)</f>
        <v>4350000</v>
      </c>
      <c r="G10" s="451">
        <f>E10*F10</f>
        <v>4350000</v>
      </c>
      <c r="H10" s="541">
        <f>SUM(Übersicht!$C$59*Eingabeparameter!$C$41+Übersicht!$C$60*Eingabeparameter!$C$42+Übersicht!$C$61*Eingabeparameter!$C$43)</f>
        <v>1110000</v>
      </c>
      <c r="I10" s="541">
        <f>E10*H10</f>
        <v>1110000</v>
      </c>
      <c r="J10" s="1098"/>
      <c r="K10" s="1099"/>
      <c r="L10" s="527"/>
      <c r="M10" s="527"/>
      <c r="N10" s="527"/>
    </row>
    <row r="11" spans="1:16" s="419" customFormat="1" ht="24.95" customHeight="1" x14ac:dyDescent="0.25">
      <c r="B11" s="1092" t="s">
        <v>26</v>
      </c>
      <c r="C11" s="1092"/>
      <c r="D11" s="1092"/>
      <c r="E11" s="542">
        <f>SUM(E8:E10)</f>
        <v>3.76</v>
      </c>
      <c r="F11" s="542"/>
      <c r="G11" s="531">
        <f>SUM(G8:G10)</f>
        <v>16356000</v>
      </c>
      <c r="H11" s="531"/>
      <c r="I11" s="531">
        <f>SUM(I8:I10)</f>
        <v>4173600</v>
      </c>
      <c r="J11" s="531"/>
    </row>
    <row r="12" spans="1:16" s="419" customFormat="1" ht="9.9499999999999993" customHeight="1" x14ac:dyDescent="0.25">
      <c r="B12" s="458"/>
      <c r="C12" s="458"/>
      <c r="D12" s="458"/>
      <c r="E12" s="459"/>
      <c r="F12" s="459"/>
    </row>
    <row r="14" spans="1:16" ht="15" thickBot="1" x14ac:dyDescent="0.3"/>
    <row r="15" spans="1:16" ht="15.75" customHeight="1" thickBot="1" x14ac:dyDescent="0.3">
      <c r="B15" s="543"/>
      <c r="C15" s="544"/>
      <c r="D15" s="544"/>
      <c r="E15" s="545"/>
      <c r="F15" s="546" t="s">
        <v>38</v>
      </c>
      <c r="G15" s="547"/>
      <c r="H15" s="547"/>
      <c r="I15" s="547"/>
      <c r="J15" s="547"/>
      <c r="K15" s="1106" t="s">
        <v>73</v>
      </c>
      <c r="L15" s="1107"/>
    </row>
    <row r="16" spans="1:16" ht="14.25" customHeight="1" x14ac:dyDescent="0.25">
      <c r="B16" s="548"/>
      <c r="C16" s="549"/>
      <c r="D16" s="549"/>
      <c r="E16" s="550"/>
      <c r="F16" s="1093" t="s">
        <v>40</v>
      </c>
      <c r="G16" s="1094"/>
      <c r="H16" s="1094"/>
      <c r="I16" s="1094"/>
      <c r="J16" s="1094"/>
      <c r="K16" s="551"/>
      <c r="L16" s="552"/>
    </row>
    <row r="17" spans="2:12" ht="15" customHeight="1" x14ac:dyDescent="0.25">
      <c r="B17" s="548"/>
      <c r="C17" s="549"/>
      <c r="D17" s="549"/>
      <c r="E17" s="550"/>
      <c r="F17" s="553"/>
      <c r="G17" s="554"/>
      <c r="H17" s="554"/>
      <c r="I17" s="554"/>
      <c r="J17" s="555"/>
      <c r="K17" s="556"/>
      <c r="L17" s="552"/>
    </row>
    <row r="18" spans="2:12" ht="15" customHeight="1" x14ac:dyDescent="0.25">
      <c r="B18" s="548"/>
      <c r="C18" s="549"/>
      <c r="D18" s="549"/>
      <c r="E18" s="550"/>
      <c r="F18" s="553"/>
      <c r="G18" s="554"/>
      <c r="H18" s="554"/>
      <c r="I18" s="554"/>
      <c r="J18" s="555"/>
      <c r="K18" s="1104">
        <v>3300000</v>
      </c>
      <c r="L18" s="1105" t="s">
        <v>71</v>
      </c>
    </row>
    <row r="19" spans="2:12" ht="15" customHeight="1" x14ac:dyDescent="0.25">
      <c r="B19" s="548"/>
      <c r="C19" s="549"/>
      <c r="D19" s="549"/>
      <c r="E19" s="550"/>
      <c r="F19" s="553"/>
      <c r="G19" s="554"/>
      <c r="H19" s="554"/>
      <c r="I19" s="554"/>
      <c r="J19" s="555"/>
      <c r="K19" s="1104"/>
      <c r="L19" s="1105"/>
    </row>
    <row r="20" spans="2:12" ht="15" customHeight="1" x14ac:dyDescent="0.25">
      <c r="B20" s="548"/>
      <c r="C20" s="549"/>
      <c r="D20" s="549"/>
      <c r="E20" s="550"/>
      <c r="F20" s="553"/>
      <c r="G20" s="554"/>
      <c r="H20" s="554"/>
      <c r="I20" s="554"/>
      <c r="J20" s="555"/>
      <c r="K20" s="1104">
        <v>1050000</v>
      </c>
      <c r="L20" s="1105" t="s">
        <v>72</v>
      </c>
    </row>
    <row r="21" spans="2:12" ht="15" customHeight="1" x14ac:dyDescent="0.25">
      <c r="B21" s="548"/>
      <c r="C21" s="549"/>
      <c r="D21" s="549"/>
      <c r="E21" s="550"/>
      <c r="F21" s="553"/>
      <c r="G21" s="554"/>
      <c r="H21" s="554"/>
      <c r="I21" s="554"/>
      <c r="J21" s="555"/>
      <c r="K21" s="1104"/>
      <c r="L21" s="1105"/>
    </row>
    <row r="22" spans="2:12" ht="15" customHeight="1" x14ac:dyDescent="0.25">
      <c r="B22" s="548"/>
      <c r="C22" s="549"/>
      <c r="D22" s="549"/>
      <c r="E22" s="550"/>
      <c r="F22" s="553"/>
      <c r="G22" s="554"/>
      <c r="H22" s="554"/>
      <c r="I22" s="554"/>
      <c r="J22" s="555"/>
      <c r="K22" s="556"/>
      <c r="L22" s="552"/>
    </row>
    <row r="23" spans="2:12" ht="15" customHeight="1" thickBot="1" x14ac:dyDescent="0.3">
      <c r="B23" s="548"/>
      <c r="C23" s="549"/>
      <c r="D23" s="549"/>
      <c r="E23" s="550"/>
      <c r="F23" s="553"/>
      <c r="G23" s="554"/>
      <c r="H23" s="554"/>
      <c r="I23" s="554"/>
      <c r="J23" s="555"/>
      <c r="K23" s="557">
        <f>K18+K20</f>
        <v>4350000</v>
      </c>
      <c r="L23" s="552" t="s">
        <v>74</v>
      </c>
    </row>
    <row r="24" spans="2:12" ht="15" customHeight="1" thickTop="1" x14ac:dyDescent="0.25">
      <c r="B24" s="548"/>
      <c r="C24" s="549"/>
      <c r="D24" s="549"/>
      <c r="E24" s="550"/>
      <c r="F24" s="553"/>
      <c r="G24" s="554"/>
      <c r="H24" s="554"/>
      <c r="I24" s="554"/>
      <c r="J24" s="555"/>
      <c r="K24" s="556"/>
      <c r="L24" s="552"/>
    </row>
    <row r="25" spans="2:12" ht="15" customHeight="1" x14ac:dyDescent="0.25">
      <c r="B25" s="548"/>
      <c r="C25" s="549"/>
      <c r="D25" s="549"/>
      <c r="E25" s="550"/>
      <c r="F25" s="553"/>
      <c r="G25" s="554"/>
      <c r="H25" s="554"/>
      <c r="I25" s="554"/>
      <c r="J25" s="555"/>
      <c r="K25" s="556"/>
      <c r="L25" s="552"/>
    </row>
    <row r="26" spans="2:12" ht="20.25" customHeight="1" thickBot="1" x14ac:dyDescent="0.3">
      <c r="B26" s="558"/>
      <c r="C26" s="559"/>
      <c r="D26" s="559"/>
      <c r="E26" s="560"/>
      <c r="F26" s="561" t="s">
        <v>66</v>
      </c>
      <c r="G26" s="562"/>
      <c r="H26" s="562"/>
      <c r="I26" s="562"/>
      <c r="J26" s="563"/>
      <c r="K26" s="564"/>
      <c r="L26" s="565"/>
    </row>
  </sheetData>
  <sheetProtection sheet="1" objects="1" scenarios="1"/>
  <mergeCells count="21">
    <mergeCell ref="K18:K19"/>
    <mergeCell ref="K20:K21"/>
    <mergeCell ref="L18:L19"/>
    <mergeCell ref="L20:L21"/>
    <mergeCell ref="K15:L15"/>
    <mergeCell ref="B3:L3"/>
    <mergeCell ref="B8:D8"/>
    <mergeCell ref="G5:G7"/>
    <mergeCell ref="J8:K8"/>
    <mergeCell ref="J9:K9"/>
    <mergeCell ref="F16:J16"/>
    <mergeCell ref="J5:K7"/>
    <mergeCell ref="B10:D10"/>
    <mergeCell ref="B11:D11"/>
    <mergeCell ref="B9:D9"/>
    <mergeCell ref="B5:D7"/>
    <mergeCell ref="F5:F7"/>
    <mergeCell ref="E5:E7"/>
    <mergeCell ref="H5:H7"/>
    <mergeCell ref="I5:I7"/>
    <mergeCell ref="J10:K10"/>
  </mergeCells>
  <printOptions horizontalCentered="1" verticalCentered="1"/>
  <pageMargins left="0.70866141732283472" right="0.70866141732283472" top="0.98425196850393704" bottom="0.78740157480314965" header="0.31496062992125984" footer="0.31496062992125984"/>
  <pageSetup paperSize="8" scale="74" orientation="landscape" r:id="rId1"/>
  <headerFooter>
    <oddHeader>&amp;L&amp;"Arial,Fett"&amp;16Gesamt-VRR&amp;C&amp;"Arial,Fett"&amp;16Machbarkeitsstudie EFM-3
- VERTRAULICH! -&amp;R&amp;G</oddHeader>
    <oddFooter>&amp;L&amp;"Arial,Standard"&amp;F
&amp;A
&amp;D
© BLIC / KCW&amp;C&amp;"Arial,Standard"&amp;P / &amp;N&amp;R&amp;G</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85" zoomScaleNormal="85" workbookViewId="0">
      <selection activeCell="K41" sqref="K41"/>
    </sheetView>
  </sheetViews>
  <sheetFormatPr baseColWidth="10" defaultColWidth="11.42578125" defaultRowHeight="15" x14ac:dyDescent="0.25"/>
  <cols>
    <col min="1" max="1" width="2" style="365" customWidth="1"/>
    <col min="2" max="3" width="17.7109375" style="365" customWidth="1"/>
    <col min="4" max="4" width="19.5703125" style="365" customWidth="1"/>
    <col min="5" max="5" width="17.7109375" style="365" customWidth="1"/>
    <col min="6" max="6" width="21.42578125" style="430" customWidth="1"/>
    <col min="7" max="8" width="22.7109375" style="419" customWidth="1"/>
    <col min="9" max="9" width="55.7109375" style="365" customWidth="1"/>
    <col min="10" max="11" width="22.7109375" style="365" customWidth="1"/>
    <col min="12" max="12" width="7.7109375" style="365" customWidth="1"/>
    <col min="13" max="16384" width="11.42578125" style="365"/>
  </cols>
  <sheetData>
    <row r="1" spans="1:12" s="419" customFormat="1" ht="30" customHeight="1" thickBot="1" x14ac:dyDescent="0.3">
      <c r="A1" s="418" t="s">
        <v>467</v>
      </c>
      <c r="F1" s="420"/>
      <c r="G1" s="421"/>
      <c r="H1" s="421"/>
      <c r="I1" s="421"/>
      <c r="J1" s="421"/>
      <c r="K1" s="421"/>
      <c r="L1" s="421"/>
    </row>
    <row r="2" spans="1:12" s="419" customFormat="1" ht="60" customHeight="1" thickBot="1" x14ac:dyDescent="0.3">
      <c r="B2" s="1015" t="s">
        <v>714</v>
      </c>
      <c r="C2" s="1016"/>
      <c r="D2" s="1016"/>
      <c r="E2" s="1016"/>
      <c r="F2" s="1017"/>
      <c r="G2" s="422"/>
      <c r="H2" s="423"/>
      <c r="I2" s="423"/>
      <c r="J2" s="423"/>
      <c r="K2" s="423"/>
      <c r="L2" s="424"/>
    </row>
    <row r="3" spans="1:12" s="419" customFormat="1" ht="9.9499999999999993" customHeight="1" x14ac:dyDescent="0.25">
      <c r="B3" s="425"/>
      <c r="F3" s="420"/>
      <c r="G3" s="423"/>
      <c r="H3" s="423"/>
      <c r="I3" s="423"/>
      <c r="J3" s="423"/>
      <c r="K3" s="423"/>
      <c r="L3" s="424"/>
    </row>
    <row r="4" spans="1:12" ht="17.100000000000001" customHeight="1" thickBot="1" x14ac:dyDescent="0.3">
      <c r="F4" s="566"/>
      <c r="G4" s="423"/>
      <c r="H4" s="423"/>
      <c r="I4" s="423"/>
      <c r="J4" s="423"/>
      <c r="K4" s="423"/>
      <c r="L4" s="424"/>
    </row>
    <row r="5" spans="1:12" s="419" customFormat="1" x14ac:dyDescent="0.25">
      <c r="A5" s="427"/>
      <c r="B5" s="1006" t="s">
        <v>472</v>
      </c>
      <c r="C5" s="1007"/>
      <c r="D5" s="1008"/>
      <c r="E5" s="1108" t="s">
        <v>476</v>
      </c>
      <c r="F5" s="1108" t="s">
        <v>494</v>
      </c>
      <c r="G5" s="1113" t="s">
        <v>466</v>
      </c>
      <c r="H5" s="1111" t="s">
        <v>7</v>
      </c>
      <c r="I5" s="1111" t="s">
        <v>8</v>
      </c>
    </row>
    <row r="6" spans="1:12" ht="14.25" x14ac:dyDescent="0.25">
      <c r="A6" s="430"/>
      <c r="B6" s="1009"/>
      <c r="C6" s="1010"/>
      <c r="D6" s="1011"/>
      <c r="E6" s="1109"/>
      <c r="F6" s="1109"/>
      <c r="G6" s="1114"/>
      <c r="H6" s="1056"/>
      <c r="I6" s="1056"/>
      <c r="J6" s="549"/>
    </row>
    <row r="7" spans="1:12" thickBot="1" x14ac:dyDescent="0.3">
      <c r="A7" s="430"/>
      <c r="B7" s="1012"/>
      <c r="C7" s="1013"/>
      <c r="D7" s="1014"/>
      <c r="E7" s="1110"/>
      <c r="F7" s="1110"/>
      <c r="G7" s="1115"/>
      <c r="H7" s="1057"/>
      <c r="I7" s="1057"/>
    </row>
    <row r="8" spans="1:12" ht="30" customHeight="1" x14ac:dyDescent="0.25">
      <c r="B8" s="1122" t="s">
        <v>478</v>
      </c>
      <c r="C8" s="1123"/>
      <c r="D8" s="1124"/>
      <c r="E8" s="567">
        <f>Eingabeparameter!C58</f>
        <v>3771</v>
      </c>
      <c r="F8" s="568">
        <f>Eingabeparameter!D58*Eingabeparameter!E58</f>
        <v>1</v>
      </c>
      <c r="G8" s="567">
        <f>Eingabeparameter!F58</f>
        <v>125</v>
      </c>
      <c r="H8" s="569">
        <f>E8*F8*G8</f>
        <v>471375</v>
      </c>
      <c r="I8" s="570" t="s">
        <v>501</v>
      </c>
    </row>
    <row r="9" spans="1:12" ht="30" customHeight="1" thickBot="1" x14ac:dyDescent="0.3">
      <c r="B9" s="1125" t="s">
        <v>479</v>
      </c>
      <c r="C9" s="1126"/>
      <c r="D9" s="1126"/>
      <c r="E9" s="571">
        <f>Eingabeparameter!C59</f>
        <v>950</v>
      </c>
      <c r="F9" s="572">
        <f>Eingabeparameter!D59*Eingabeparameter!E59</f>
        <v>6.25</v>
      </c>
      <c r="G9" s="571">
        <f>Eingabeparameter!F59</f>
        <v>125</v>
      </c>
      <c r="H9" s="573">
        <f>E9*F9*G9</f>
        <v>742187.5</v>
      </c>
      <c r="I9" s="574" t="s">
        <v>501</v>
      </c>
    </row>
    <row r="10" spans="1:12" ht="29.25" thickBot="1" x14ac:dyDescent="0.3">
      <c r="B10" s="1117" t="s">
        <v>493</v>
      </c>
      <c r="C10" s="1117"/>
      <c r="D10" s="1117"/>
      <c r="E10" s="575" t="s">
        <v>477</v>
      </c>
      <c r="F10" s="576" t="s">
        <v>495</v>
      </c>
      <c r="G10" s="575" t="s">
        <v>496</v>
      </c>
      <c r="H10" s="577"/>
      <c r="I10" s="578"/>
    </row>
    <row r="11" spans="1:12" ht="30" customHeight="1" x14ac:dyDescent="0.25">
      <c r="B11" s="1119" t="s">
        <v>480</v>
      </c>
      <c r="C11" s="1120"/>
      <c r="D11" s="1120"/>
      <c r="E11" s="579">
        <f>Eingabeparameter!C61</f>
        <v>10386</v>
      </c>
      <c r="F11" s="580">
        <f>Eingabeparameter!D61</f>
        <v>1</v>
      </c>
      <c r="G11" s="579">
        <f>Eingabeparameter!F61</f>
        <v>180</v>
      </c>
      <c r="H11" s="581">
        <f>E11*F11*G11</f>
        <v>1869480</v>
      </c>
      <c r="I11" s="582" t="s">
        <v>546</v>
      </c>
    </row>
    <row r="12" spans="1:12" ht="36" x14ac:dyDescent="0.25">
      <c r="B12" s="991" t="s">
        <v>483</v>
      </c>
      <c r="C12" s="994"/>
      <c r="D12" s="1116"/>
      <c r="E12" s="438">
        <f>Eingabeparameter!C62</f>
        <v>415</v>
      </c>
      <c r="F12" s="583">
        <f>Eingabeparameter!D62</f>
        <v>1</v>
      </c>
      <c r="G12" s="438">
        <f>Eingabeparameter!F62</f>
        <v>180</v>
      </c>
      <c r="H12" s="538">
        <f>E12*F12*G12</f>
        <v>74700</v>
      </c>
      <c r="I12" s="584" t="s">
        <v>547</v>
      </c>
    </row>
    <row r="13" spans="1:12" ht="30" customHeight="1" thickBot="1" x14ac:dyDescent="0.3">
      <c r="B13" s="988" t="s">
        <v>481</v>
      </c>
      <c r="C13" s="1121"/>
      <c r="D13" s="1121"/>
      <c r="E13" s="438">
        <f>Eingabeparameter!C63</f>
        <v>0</v>
      </c>
      <c r="F13" s="583">
        <f>Eingabeparameter!D63</f>
        <v>2</v>
      </c>
      <c r="G13" s="585">
        <f>Eingabeparameter!F63</f>
        <v>180</v>
      </c>
      <c r="H13" s="538">
        <f>E13*F13*G13</f>
        <v>0</v>
      </c>
      <c r="I13" s="574" t="s">
        <v>548</v>
      </c>
    </row>
    <row r="14" spans="1:12" ht="29.25" thickBot="1" x14ac:dyDescent="0.3">
      <c r="B14" s="1117" t="s">
        <v>499</v>
      </c>
      <c r="C14" s="1117"/>
      <c r="D14" s="1117"/>
      <c r="E14" s="575"/>
      <c r="F14" s="576" t="s">
        <v>492</v>
      </c>
      <c r="G14" s="575" t="s">
        <v>497</v>
      </c>
      <c r="H14" s="575"/>
      <c r="I14" s="578"/>
    </row>
    <row r="15" spans="1:12" s="586" customFormat="1" ht="31.5" customHeight="1" thickBot="1" x14ac:dyDescent="0.3">
      <c r="B15" s="996" t="s">
        <v>498</v>
      </c>
      <c r="C15" s="1118"/>
      <c r="D15" s="1118"/>
      <c r="E15" s="587"/>
      <c r="F15" s="587">
        <f>Übersicht!C80</f>
        <v>120</v>
      </c>
      <c r="G15" s="587">
        <f>Eingabeparameter!F65</f>
        <v>5000</v>
      </c>
      <c r="H15" s="588">
        <f>F15*G15</f>
        <v>600000</v>
      </c>
      <c r="I15" s="589" t="s">
        <v>741</v>
      </c>
    </row>
    <row r="16" spans="1:12" s="419" customFormat="1" ht="24.95" customHeight="1" thickBot="1" x14ac:dyDescent="0.3">
      <c r="B16" s="1112" t="s">
        <v>26</v>
      </c>
      <c r="C16" s="1112"/>
      <c r="D16" s="1112"/>
      <c r="E16" s="590"/>
      <c r="F16" s="591"/>
      <c r="G16" s="592"/>
      <c r="H16" s="593">
        <f>SUM(H8:H15)</f>
        <v>3757742.5</v>
      </c>
    </row>
    <row r="17" spans="2:8" s="419" customFormat="1" ht="9.9499999999999993" customHeight="1" x14ac:dyDescent="0.25">
      <c r="B17" s="458"/>
      <c r="C17" s="458"/>
      <c r="D17" s="458"/>
      <c r="F17" s="459"/>
      <c r="G17" s="460"/>
      <c r="H17" s="460"/>
    </row>
    <row r="18" spans="2:8" s="419" customFormat="1" ht="20.100000000000001" customHeight="1" x14ac:dyDescent="0.25">
      <c r="B18" s="365"/>
      <c r="C18" s="594"/>
      <c r="D18" s="458"/>
      <c r="F18" s="459"/>
      <c r="G18" s="460"/>
      <c r="H18" s="460"/>
    </row>
    <row r="19" spans="2:8" ht="20.100000000000001" customHeight="1" x14ac:dyDescent="0.25"/>
  </sheetData>
  <sheetProtection sheet="1" objects="1" scenarios="1"/>
  <mergeCells count="16">
    <mergeCell ref="B16:D16"/>
    <mergeCell ref="G5:G7"/>
    <mergeCell ref="E5:E7"/>
    <mergeCell ref="B12:D12"/>
    <mergeCell ref="B10:D10"/>
    <mergeCell ref="B15:D15"/>
    <mergeCell ref="B11:D11"/>
    <mergeCell ref="B13:D13"/>
    <mergeCell ref="B14:D14"/>
    <mergeCell ref="B8:D8"/>
    <mergeCell ref="B9:D9"/>
    <mergeCell ref="B2:F2"/>
    <mergeCell ref="B5:D7"/>
    <mergeCell ref="F5:F7"/>
    <mergeCell ref="H5:H7"/>
    <mergeCell ref="I5:I7"/>
  </mergeCells>
  <printOptions horizontalCentered="1" verticalCentered="1"/>
  <pageMargins left="0.70866141732283472" right="0.70866141732283472" top="0.98425196850393704" bottom="0.78740157480314965" header="0.31496062992125984" footer="0.31496062992125984"/>
  <pageSetup paperSize="8" scale="97" orientation="landscape" r:id="rId1"/>
  <headerFooter>
    <oddHeader>&amp;L&amp;"Arial,Fett"&amp;16Gesamt-VRR&amp;C&amp;"Arial,Fett"&amp;16Machbarkeitsstudie EFM-3
- VERTRAULICH! -&amp;R&amp;G</oddHeader>
    <oddFooter>&amp;L&amp;"Arial,Standard"&amp;F
&amp;A
&amp;D
© BLIC / KCW&amp;C&amp;"Arial,Standard"&amp;P / &amp;N&amp;R&amp;G</oddFooter>
  </headerFooter>
  <colBreaks count="1" manualBreakCount="1">
    <brk id="11" max="1048575" man="1"/>
  </col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zoomScaleNormal="100" workbookViewId="0"/>
  </sheetViews>
  <sheetFormatPr baseColWidth="10" defaultColWidth="11.42578125" defaultRowHeight="15" x14ac:dyDescent="0.25"/>
  <cols>
    <col min="1" max="1" width="2" style="365" customWidth="1"/>
    <col min="2" max="3" width="17.7109375" style="365" customWidth="1"/>
    <col min="4" max="4" width="19.5703125" style="365" customWidth="1"/>
    <col min="5" max="5" width="18.42578125" style="365" customWidth="1"/>
    <col min="6" max="6" width="22.5703125" style="430" customWidth="1"/>
    <col min="7" max="7" width="22.7109375" style="419" customWidth="1"/>
    <col min="8" max="8" width="50.85546875" style="419" customWidth="1"/>
    <col min="9" max="9" width="55.7109375" style="365" customWidth="1"/>
    <col min="10" max="11" width="22.7109375" style="365" customWidth="1"/>
    <col min="12" max="12" width="7.7109375" style="365" customWidth="1"/>
    <col min="13" max="16384" width="11.42578125" style="365"/>
  </cols>
  <sheetData>
    <row r="1" spans="1:12" s="419" customFormat="1" ht="30" customHeight="1" x14ac:dyDescent="0.25">
      <c r="A1" s="418" t="s">
        <v>539</v>
      </c>
      <c r="F1" s="420"/>
      <c r="G1" s="421"/>
      <c r="H1" s="421"/>
      <c r="I1" s="421"/>
      <c r="J1" s="421"/>
      <c r="K1" s="421"/>
      <c r="L1" s="421"/>
    </row>
    <row r="2" spans="1:12" ht="17.100000000000001" customHeight="1" thickBot="1" x14ac:dyDescent="0.3">
      <c r="F2" s="566"/>
      <c r="G2" s="423"/>
      <c r="H2" s="423"/>
      <c r="I2" s="423"/>
      <c r="J2" s="423"/>
      <c r="K2" s="424"/>
    </row>
    <row r="3" spans="1:12" s="419" customFormat="1" ht="29.25" thickBot="1" x14ac:dyDescent="0.3">
      <c r="A3" s="427"/>
      <c r="B3" s="983" t="s">
        <v>661</v>
      </c>
      <c r="C3" s="984"/>
      <c r="D3" s="1136"/>
      <c r="E3" s="595" t="s">
        <v>540</v>
      </c>
      <c r="F3" s="595" t="s">
        <v>542</v>
      </c>
      <c r="G3" s="596" t="s">
        <v>7</v>
      </c>
      <c r="H3" s="597" t="s">
        <v>8</v>
      </c>
    </row>
    <row r="4" spans="1:12" ht="18" x14ac:dyDescent="0.25">
      <c r="B4" s="1127" t="s">
        <v>533</v>
      </c>
      <c r="C4" s="1128"/>
      <c r="D4" s="1129"/>
      <c r="E4" s="598">
        <f>Eingabeparameter!C69</f>
        <v>2.5000000000000001E-2</v>
      </c>
      <c r="F4" s="599">
        <f>'Basisdaten VRR'!F10</f>
        <v>247216669</v>
      </c>
      <c r="G4" s="600">
        <f>E4*F4</f>
        <v>6180416.7250000006</v>
      </c>
      <c r="H4" s="570" t="s">
        <v>543</v>
      </c>
    </row>
    <row r="5" spans="1:12" ht="18" x14ac:dyDescent="0.25">
      <c r="B5" s="1130" t="s">
        <v>535</v>
      </c>
      <c r="C5" s="1131"/>
      <c r="D5" s="1132"/>
      <c r="E5" s="601">
        <f>Eingabeparameter!C70</f>
        <v>2.5000000000000001E-2</v>
      </c>
      <c r="F5" s="602">
        <f>'Basisdaten VRR'!F10</f>
        <v>247216669</v>
      </c>
      <c r="G5" s="603">
        <f>E5*F5</f>
        <v>6180416.7250000006</v>
      </c>
      <c r="H5" s="584" t="s">
        <v>543</v>
      </c>
    </row>
    <row r="6" spans="1:12" ht="18" x14ac:dyDescent="0.25">
      <c r="B6" s="1133" t="s">
        <v>536</v>
      </c>
      <c r="C6" s="1134"/>
      <c r="D6" s="1135"/>
      <c r="E6" s="601">
        <f>Eingabeparameter!C71</f>
        <v>0.01</v>
      </c>
      <c r="F6" s="604">
        <f>'Basisdaten VRR'!F4+'Basisdaten VRR'!F6</f>
        <v>579549731</v>
      </c>
      <c r="G6" s="603">
        <f>E6*F6</f>
        <v>5795497.3100000005</v>
      </c>
      <c r="H6" s="570" t="s">
        <v>617</v>
      </c>
    </row>
    <row r="7" spans="1:12" ht="24.75" thickBot="1" x14ac:dyDescent="0.3">
      <c r="B7" s="1130" t="s">
        <v>537</v>
      </c>
      <c r="C7" s="1131"/>
      <c r="D7" s="1132"/>
      <c r="E7" s="601">
        <f>Eingabeparameter!C72</f>
        <v>0.01</v>
      </c>
      <c r="F7" s="602">
        <f>'Basisdaten VRR'!F15</f>
        <v>84501743</v>
      </c>
      <c r="G7" s="603">
        <f>E7*F7</f>
        <v>845017.43</v>
      </c>
      <c r="H7" s="584" t="s">
        <v>544</v>
      </c>
    </row>
    <row r="8" spans="1:12" ht="29.25" thickBot="1" x14ac:dyDescent="0.3">
      <c r="B8" s="983" t="s">
        <v>662</v>
      </c>
      <c r="C8" s="984"/>
      <c r="D8" s="1136"/>
      <c r="E8" s="595" t="s">
        <v>541</v>
      </c>
      <c r="F8" s="605" t="s">
        <v>542</v>
      </c>
      <c r="G8" s="596" t="s">
        <v>7</v>
      </c>
      <c r="H8" s="596"/>
    </row>
    <row r="9" spans="1:12" s="586" customFormat="1" ht="25.5" customHeight="1" x14ac:dyDescent="0.25">
      <c r="B9" s="1127" t="s">
        <v>534</v>
      </c>
      <c r="C9" s="1128"/>
      <c r="D9" s="1129"/>
      <c r="E9" s="606">
        <f>Eingabeparameter!C74</f>
        <v>0</v>
      </c>
      <c r="F9" s="607">
        <f>7000*Eingabeparameter!C97</f>
        <v>26425000</v>
      </c>
      <c r="G9" s="600">
        <f>E9*F9</f>
        <v>0</v>
      </c>
      <c r="H9" s="570" t="s">
        <v>614</v>
      </c>
    </row>
    <row r="10" spans="1:12" s="419" customFormat="1" ht="18" customHeight="1" x14ac:dyDescent="0.25">
      <c r="B10" s="1130" t="s">
        <v>621</v>
      </c>
      <c r="C10" s="1131"/>
      <c r="D10" s="1132"/>
      <c r="E10" s="608">
        <f>Eingabeparameter!C75</f>
        <v>0</v>
      </c>
      <c r="F10" s="609">
        <f>'Kosten für Chipkarten'!F8</f>
        <v>4350000</v>
      </c>
      <c r="G10" s="603">
        <f>E10*F10</f>
        <v>0</v>
      </c>
      <c r="H10" s="584" t="s">
        <v>615</v>
      </c>
      <c r="I10" s="364"/>
    </row>
    <row r="11" spans="1:12" s="419" customFormat="1" ht="18" customHeight="1" x14ac:dyDescent="0.25">
      <c r="B11" s="1130" t="s">
        <v>622</v>
      </c>
      <c r="C11" s="1131"/>
      <c r="D11" s="1132"/>
      <c r="E11" s="608">
        <f>Eingabeparameter!C75</f>
        <v>0</v>
      </c>
      <c r="F11" s="610">
        <f>'Kosten für Chipkarten'!H8</f>
        <v>1110000</v>
      </c>
      <c r="G11" s="603">
        <f>E11*F11</f>
        <v>0</v>
      </c>
      <c r="H11" s="584" t="s">
        <v>666</v>
      </c>
      <c r="I11" s="364"/>
    </row>
    <row r="12" spans="1:12" s="419" customFormat="1" ht="18" x14ac:dyDescent="0.25">
      <c r="B12" s="1133"/>
      <c r="C12" s="1134"/>
      <c r="D12" s="1135"/>
      <c r="E12" s="608"/>
      <c r="F12" s="611"/>
      <c r="G12" s="603"/>
      <c r="H12" s="570"/>
      <c r="I12" s="364"/>
    </row>
    <row r="13" spans="1:12" s="419" customFormat="1" ht="18.75" thickBot="1" x14ac:dyDescent="0.3">
      <c r="B13" s="1140"/>
      <c r="C13" s="1141"/>
      <c r="D13" s="1142"/>
      <c r="E13" s="612"/>
      <c r="F13" s="613"/>
      <c r="G13" s="614"/>
      <c r="H13" s="574"/>
      <c r="I13" s="364"/>
    </row>
    <row r="14" spans="1:12" s="419" customFormat="1" ht="18.75" thickBot="1" x14ac:dyDescent="0.3">
      <c r="B14" s="1137" t="s">
        <v>26</v>
      </c>
      <c r="C14" s="1137"/>
      <c r="D14" s="1137"/>
      <c r="E14" s="1138"/>
      <c r="F14" s="1139"/>
      <c r="G14" s="615">
        <f>SUM(G4:G7)+G9+G10+G12+G13</f>
        <v>19001348.190000001</v>
      </c>
      <c r="H14" s="616"/>
    </row>
    <row r="15" spans="1:12" s="419" customFormat="1" x14ac:dyDescent="0.25">
      <c r="B15" s="365"/>
      <c r="C15" s="594"/>
      <c r="D15" s="458"/>
      <c r="F15" s="459"/>
      <c r="G15" s="617"/>
      <c r="H15" s="460"/>
    </row>
  </sheetData>
  <sheetProtection sheet="1" objects="1" scenarios="1"/>
  <mergeCells count="13">
    <mergeCell ref="B14:D14"/>
    <mergeCell ref="E14:F14"/>
    <mergeCell ref="B10:D10"/>
    <mergeCell ref="B9:D9"/>
    <mergeCell ref="B8:D8"/>
    <mergeCell ref="B13:D13"/>
    <mergeCell ref="B12:D12"/>
    <mergeCell ref="B11:D11"/>
    <mergeCell ref="B4:D4"/>
    <mergeCell ref="B5:D5"/>
    <mergeCell ref="B6:D6"/>
    <mergeCell ref="B7:D7"/>
    <mergeCell ref="B3:D3"/>
  </mergeCells>
  <printOptions horizontalCentered="1" verticalCentered="1"/>
  <pageMargins left="0.70866141732283472" right="0.70866141732283472" top="0.98425196850393704" bottom="0.78740157480314965" header="0.31496062992125984" footer="0.31496062992125984"/>
  <pageSetup paperSize="8"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U24"/>
  <sheetViews>
    <sheetView zoomScale="70" zoomScaleNormal="70" zoomScaleSheetLayoutView="70" zoomScalePageLayoutView="40" workbookViewId="0"/>
  </sheetViews>
  <sheetFormatPr baseColWidth="10" defaultColWidth="11.42578125" defaultRowHeight="14.25" x14ac:dyDescent="0.25"/>
  <cols>
    <col min="1" max="1" width="2" style="365" customWidth="1"/>
    <col min="2" max="3" width="17.7109375" style="365" customWidth="1"/>
    <col min="4" max="4" width="20.5703125" style="365" customWidth="1"/>
    <col min="5" max="6" width="16.5703125" style="430" customWidth="1"/>
    <col min="7" max="8" width="16.5703125" style="365" customWidth="1"/>
    <col min="9" max="17" width="17.7109375" style="365" customWidth="1"/>
    <col min="18" max="18" width="13.7109375" style="365" customWidth="1"/>
    <col min="19" max="19" width="22.7109375" style="365" customWidth="1"/>
    <col min="20" max="20" width="7.7109375" style="365" customWidth="1"/>
    <col min="21" max="256" width="11.42578125" style="365"/>
    <col min="257" max="257" width="2" style="365" customWidth="1"/>
    <col min="258" max="259" width="17.7109375" style="365" customWidth="1"/>
    <col min="260" max="260" width="20.5703125" style="365" customWidth="1"/>
    <col min="261" max="264" width="16.5703125" style="365" customWidth="1"/>
    <col min="265" max="273" width="17.7109375" style="365" customWidth="1"/>
    <col min="274" max="274" width="13.7109375" style="365" customWidth="1"/>
    <col min="275" max="275" width="22.7109375" style="365" customWidth="1"/>
    <col min="276" max="276" width="7.7109375" style="365" customWidth="1"/>
    <col min="277" max="512" width="11.42578125" style="365"/>
    <col min="513" max="513" width="2" style="365" customWidth="1"/>
    <col min="514" max="515" width="17.7109375" style="365" customWidth="1"/>
    <col min="516" max="516" width="20.5703125" style="365" customWidth="1"/>
    <col min="517" max="520" width="16.5703125" style="365" customWidth="1"/>
    <col min="521" max="529" width="17.7109375" style="365" customWidth="1"/>
    <col min="530" max="530" width="13.7109375" style="365" customWidth="1"/>
    <col min="531" max="531" width="22.7109375" style="365" customWidth="1"/>
    <col min="532" max="532" width="7.7109375" style="365" customWidth="1"/>
    <col min="533" max="768" width="11.42578125" style="365"/>
    <col min="769" max="769" width="2" style="365" customWidth="1"/>
    <col min="770" max="771" width="17.7109375" style="365" customWidth="1"/>
    <col min="772" max="772" width="20.5703125" style="365" customWidth="1"/>
    <col min="773" max="776" width="16.5703125" style="365" customWidth="1"/>
    <col min="777" max="785" width="17.7109375" style="365" customWidth="1"/>
    <col min="786" max="786" width="13.7109375" style="365" customWidth="1"/>
    <col min="787" max="787" width="22.7109375" style="365" customWidth="1"/>
    <col min="788" max="788" width="7.7109375" style="365" customWidth="1"/>
    <col min="789" max="1024" width="11.42578125" style="365"/>
    <col min="1025" max="1025" width="2" style="365" customWidth="1"/>
    <col min="1026" max="1027" width="17.7109375" style="365" customWidth="1"/>
    <col min="1028" max="1028" width="20.5703125" style="365" customWidth="1"/>
    <col min="1029" max="1032" width="16.5703125" style="365" customWidth="1"/>
    <col min="1033" max="1041" width="17.7109375" style="365" customWidth="1"/>
    <col min="1042" max="1042" width="13.7109375" style="365" customWidth="1"/>
    <col min="1043" max="1043" width="22.7109375" style="365" customWidth="1"/>
    <col min="1044" max="1044" width="7.7109375" style="365" customWidth="1"/>
    <col min="1045" max="1280" width="11.42578125" style="365"/>
    <col min="1281" max="1281" width="2" style="365" customWidth="1"/>
    <col min="1282" max="1283" width="17.7109375" style="365" customWidth="1"/>
    <col min="1284" max="1284" width="20.5703125" style="365" customWidth="1"/>
    <col min="1285" max="1288" width="16.5703125" style="365" customWidth="1"/>
    <col min="1289" max="1297" width="17.7109375" style="365" customWidth="1"/>
    <col min="1298" max="1298" width="13.7109375" style="365" customWidth="1"/>
    <col min="1299" max="1299" width="22.7109375" style="365" customWidth="1"/>
    <col min="1300" max="1300" width="7.7109375" style="365" customWidth="1"/>
    <col min="1301" max="1536" width="11.42578125" style="365"/>
    <col min="1537" max="1537" width="2" style="365" customWidth="1"/>
    <col min="1538" max="1539" width="17.7109375" style="365" customWidth="1"/>
    <col min="1540" max="1540" width="20.5703125" style="365" customWidth="1"/>
    <col min="1541" max="1544" width="16.5703125" style="365" customWidth="1"/>
    <col min="1545" max="1553" width="17.7109375" style="365" customWidth="1"/>
    <col min="1554" max="1554" width="13.7109375" style="365" customWidth="1"/>
    <col min="1555" max="1555" width="22.7109375" style="365" customWidth="1"/>
    <col min="1556" max="1556" width="7.7109375" style="365" customWidth="1"/>
    <col min="1557" max="1792" width="11.42578125" style="365"/>
    <col min="1793" max="1793" width="2" style="365" customWidth="1"/>
    <col min="1794" max="1795" width="17.7109375" style="365" customWidth="1"/>
    <col min="1796" max="1796" width="20.5703125" style="365" customWidth="1"/>
    <col min="1797" max="1800" width="16.5703125" style="365" customWidth="1"/>
    <col min="1801" max="1809" width="17.7109375" style="365" customWidth="1"/>
    <col min="1810" max="1810" width="13.7109375" style="365" customWidth="1"/>
    <col min="1811" max="1811" width="22.7109375" style="365" customWidth="1"/>
    <col min="1812" max="1812" width="7.7109375" style="365" customWidth="1"/>
    <col min="1813" max="2048" width="11.42578125" style="365"/>
    <col min="2049" max="2049" width="2" style="365" customWidth="1"/>
    <col min="2050" max="2051" width="17.7109375" style="365" customWidth="1"/>
    <col min="2052" max="2052" width="20.5703125" style="365" customWidth="1"/>
    <col min="2053" max="2056" width="16.5703125" style="365" customWidth="1"/>
    <col min="2057" max="2065" width="17.7109375" style="365" customWidth="1"/>
    <col min="2066" max="2066" width="13.7109375" style="365" customWidth="1"/>
    <col min="2067" max="2067" width="22.7109375" style="365" customWidth="1"/>
    <col min="2068" max="2068" width="7.7109375" style="365" customWidth="1"/>
    <col min="2069" max="2304" width="11.42578125" style="365"/>
    <col min="2305" max="2305" width="2" style="365" customWidth="1"/>
    <col min="2306" max="2307" width="17.7109375" style="365" customWidth="1"/>
    <col min="2308" max="2308" width="20.5703125" style="365" customWidth="1"/>
    <col min="2309" max="2312" width="16.5703125" style="365" customWidth="1"/>
    <col min="2313" max="2321" width="17.7109375" style="365" customWidth="1"/>
    <col min="2322" max="2322" width="13.7109375" style="365" customWidth="1"/>
    <col min="2323" max="2323" width="22.7109375" style="365" customWidth="1"/>
    <col min="2324" max="2324" width="7.7109375" style="365" customWidth="1"/>
    <col min="2325" max="2560" width="11.42578125" style="365"/>
    <col min="2561" max="2561" width="2" style="365" customWidth="1"/>
    <col min="2562" max="2563" width="17.7109375" style="365" customWidth="1"/>
    <col min="2564" max="2564" width="20.5703125" style="365" customWidth="1"/>
    <col min="2565" max="2568" width="16.5703125" style="365" customWidth="1"/>
    <col min="2569" max="2577" width="17.7109375" style="365" customWidth="1"/>
    <col min="2578" max="2578" width="13.7109375" style="365" customWidth="1"/>
    <col min="2579" max="2579" width="22.7109375" style="365" customWidth="1"/>
    <col min="2580" max="2580" width="7.7109375" style="365" customWidth="1"/>
    <col min="2581" max="2816" width="11.42578125" style="365"/>
    <col min="2817" max="2817" width="2" style="365" customWidth="1"/>
    <col min="2818" max="2819" width="17.7109375" style="365" customWidth="1"/>
    <col min="2820" max="2820" width="20.5703125" style="365" customWidth="1"/>
    <col min="2821" max="2824" width="16.5703125" style="365" customWidth="1"/>
    <col min="2825" max="2833" width="17.7109375" style="365" customWidth="1"/>
    <col min="2834" max="2834" width="13.7109375" style="365" customWidth="1"/>
    <col min="2835" max="2835" width="22.7109375" style="365" customWidth="1"/>
    <col min="2836" max="2836" width="7.7109375" style="365" customWidth="1"/>
    <col min="2837" max="3072" width="11.42578125" style="365"/>
    <col min="3073" max="3073" width="2" style="365" customWidth="1"/>
    <col min="3074" max="3075" width="17.7109375" style="365" customWidth="1"/>
    <col min="3076" max="3076" width="20.5703125" style="365" customWidth="1"/>
    <col min="3077" max="3080" width="16.5703125" style="365" customWidth="1"/>
    <col min="3081" max="3089" width="17.7109375" style="365" customWidth="1"/>
    <col min="3090" max="3090" width="13.7109375" style="365" customWidth="1"/>
    <col min="3091" max="3091" width="22.7109375" style="365" customWidth="1"/>
    <col min="3092" max="3092" width="7.7109375" style="365" customWidth="1"/>
    <col min="3093" max="3328" width="11.42578125" style="365"/>
    <col min="3329" max="3329" width="2" style="365" customWidth="1"/>
    <col min="3330" max="3331" width="17.7109375" style="365" customWidth="1"/>
    <col min="3332" max="3332" width="20.5703125" style="365" customWidth="1"/>
    <col min="3333" max="3336" width="16.5703125" style="365" customWidth="1"/>
    <col min="3337" max="3345" width="17.7109375" style="365" customWidth="1"/>
    <col min="3346" max="3346" width="13.7109375" style="365" customWidth="1"/>
    <col min="3347" max="3347" width="22.7109375" style="365" customWidth="1"/>
    <col min="3348" max="3348" width="7.7109375" style="365" customWidth="1"/>
    <col min="3349" max="3584" width="11.42578125" style="365"/>
    <col min="3585" max="3585" width="2" style="365" customWidth="1"/>
    <col min="3586" max="3587" width="17.7109375" style="365" customWidth="1"/>
    <col min="3588" max="3588" width="20.5703125" style="365" customWidth="1"/>
    <col min="3589" max="3592" width="16.5703125" style="365" customWidth="1"/>
    <col min="3593" max="3601" width="17.7109375" style="365" customWidth="1"/>
    <col min="3602" max="3602" width="13.7109375" style="365" customWidth="1"/>
    <col min="3603" max="3603" width="22.7109375" style="365" customWidth="1"/>
    <col min="3604" max="3604" width="7.7109375" style="365" customWidth="1"/>
    <col min="3605" max="3840" width="11.42578125" style="365"/>
    <col min="3841" max="3841" width="2" style="365" customWidth="1"/>
    <col min="3842" max="3843" width="17.7109375" style="365" customWidth="1"/>
    <col min="3844" max="3844" width="20.5703125" style="365" customWidth="1"/>
    <col min="3845" max="3848" width="16.5703125" style="365" customWidth="1"/>
    <col min="3849" max="3857" width="17.7109375" style="365" customWidth="1"/>
    <col min="3858" max="3858" width="13.7109375" style="365" customWidth="1"/>
    <col min="3859" max="3859" width="22.7109375" style="365" customWidth="1"/>
    <col min="3860" max="3860" width="7.7109375" style="365" customWidth="1"/>
    <col min="3861" max="4096" width="11.42578125" style="365"/>
    <col min="4097" max="4097" width="2" style="365" customWidth="1"/>
    <col min="4098" max="4099" width="17.7109375" style="365" customWidth="1"/>
    <col min="4100" max="4100" width="20.5703125" style="365" customWidth="1"/>
    <col min="4101" max="4104" width="16.5703125" style="365" customWidth="1"/>
    <col min="4105" max="4113" width="17.7109375" style="365" customWidth="1"/>
    <col min="4114" max="4114" width="13.7109375" style="365" customWidth="1"/>
    <col min="4115" max="4115" width="22.7109375" style="365" customWidth="1"/>
    <col min="4116" max="4116" width="7.7109375" style="365" customWidth="1"/>
    <col min="4117" max="4352" width="11.42578125" style="365"/>
    <col min="4353" max="4353" width="2" style="365" customWidth="1"/>
    <col min="4354" max="4355" width="17.7109375" style="365" customWidth="1"/>
    <col min="4356" max="4356" width="20.5703125" style="365" customWidth="1"/>
    <col min="4357" max="4360" width="16.5703125" style="365" customWidth="1"/>
    <col min="4361" max="4369" width="17.7109375" style="365" customWidth="1"/>
    <col min="4370" max="4370" width="13.7109375" style="365" customWidth="1"/>
    <col min="4371" max="4371" width="22.7109375" style="365" customWidth="1"/>
    <col min="4372" max="4372" width="7.7109375" style="365" customWidth="1"/>
    <col min="4373" max="4608" width="11.42578125" style="365"/>
    <col min="4609" max="4609" width="2" style="365" customWidth="1"/>
    <col min="4610" max="4611" width="17.7109375" style="365" customWidth="1"/>
    <col min="4612" max="4612" width="20.5703125" style="365" customWidth="1"/>
    <col min="4613" max="4616" width="16.5703125" style="365" customWidth="1"/>
    <col min="4617" max="4625" width="17.7109375" style="365" customWidth="1"/>
    <col min="4626" max="4626" width="13.7109375" style="365" customWidth="1"/>
    <col min="4627" max="4627" width="22.7109375" style="365" customWidth="1"/>
    <col min="4628" max="4628" width="7.7109375" style="365" customWidth="1"/>
    <col min="4629" max="4864" width="11.42578125" style="365"/>
    <col min="4865" max="4865" width="2" style="365" customWidth="1"/>
    <col min="4866" max="4867" width="17.7109375" style="365" customWidth="1"/>
    <col min="4868" max="4868" width="20.5703125" style="365" customWidth="1"/>
    <col min="4869" max="4872" width="16.5703125" style="365" customWidth="1"/>
    <col min="4873" max="4881" width="17.7109375" style="365" customWidth="1"/>
    <col min="4882" max="4882" width="13.7109375" style="365" customWidth="1"/>
    <col min="4883" max="4883" width="22.7109375" style="365" customWidth="1"/>
    <col min="4884" max="4884" width="7.7109375" style="365" customWidth="1"/>
    <col min="4885" max="5120" width="11.42578125" style="365"/>
    <col min="5121" max="5121" width="2" style="365" customWidth="1"/>
    <col min="5122" max="5123" width="17.7109375" style="365" customWidth="1"/>
    <col min="5124" max="5124" width="20.5703125" style="365" customWidth="1"/>
    <col min="5125" max="5128" width="16.5703125" style="365" customWidth="1"/>
    <col min="5129" max="5137" width="17.7109375" style="365" customWidth="1"/>
    <col min="5138" max="5138" width="13.7109375" style="365" customWidth="1"/>
    <col min="5139" max="5139" width="22.7109375" style="365" customWidth="1"/>
    <col min="5140" max="5140" width="7.7109375" style="365" customWidth="1"/>
    <col min="5141" max="5376" width="11.42578125" style="365"/>
    <col min="5377" max="5377" width="2" style="365" customWidth="1"/>
    <col min="5378" max="5379" width="17.7109375" style="365" customWidth="1"/>
    <col min="5380" max="5380" width="20.5703125" style="365" customWidth="1"/>
    <col min="5381" max="5384" width="16.5703125" style="365" customWidth="1"/>
    <col min="5385" max="5393" width="17.7109375" style="365" customWidth="1"/>
    <col min="5394" max="5394" width="13.7109375" style="365" customWidth="1"/>
    <col min="5395" max="5395" width="22.7109375" style="365" customWidth="1"/>
    <col min="5396" max="5396" width="7.7109375" style="365" customWidth="1"/>
    <col min="5397" max="5632" width="11.42578125" style="365"/>
    <col min="5633" max="5633" width="2" style="365" customWidth="1"/>
    <col min="5634" max="5635" width="17.7109375" style="365" customWidth="1"/>
    <col min="5636" max="5636" width="20.5703125" style="365" customWidth="1"/>
    <col min="5637" max="5640" width="16.5703125" style="365" customWidth="1"/>
    <col min="5641" max="5649" width="17.7109375" style="365" customWidth="1"/>
    <col min="5650" max="5650" width="13.7109375" style="365" customWidth="1"/>
    <col min="5651" max="5651" width="22.7109375" style="365" customWidth="1"/>
    <col min="5652" max="5652" width="7.7109375" style="365" customWidth="1"/>
    <col min="5653" max="5888" width="11.42578125" style="365"/>
    <col min="5889" max="5889" width="2" style="365" customWidth="1"/>
    <col min="5890" max="5891" width="17.7109375" style="365" customWidth="1"/>
    <col min="5892" max="5892" width="20.5703125" style="365" customWidth="1"/>
    <col min="5893" max="5896" width="16.5703125" style="365" customWidth="1"/>
    <col min="5897" max="5905" width="17.7109375" style="365" customWidth="1"/>
    <col min="5906" max="5906" width="13.7109375" style="365" customWidth="1"/>
    <col min="5907" max="5907" width="22.7109375" style="365" customWidth="1"/>
    <col min="5908" max="5908" width="7.7109375" style="365" customWidth="1"/>
    <col min="5909" max="6144" width="11.42578125" style="365"/>
    <col min="6145" max="6145" width="2" style="365" customWidth="1"/>
    <col min="6146" max="6147" width="17.7109375" style="365" customWidth="1"/>
    <col min="6148" max="6148" width="20.5703125" style="365" customWidth="1"/>
    <col min="6149" max="6152" width="16.5703125" style="365" customWidth="1"/>
    <col min="6153" max="6161" width="17.7109375" style="365" customWidth="1"/>
    <col min="6162" max="6162" width="13.7109375" style="365" customWidth="1"/>
    <col min="6163" max="6163" width="22.7109375" style="365" customWidth="1"/>
    <col min="6164" max="6164" width="7.7109375" style="365" customWidth="1"/>
    <col min="6165" max="6400" width="11.42578125" style="365"/>
    <col min="6401" max="6401" width="2" style="365" customWidth="1"/>
    <col min="6402" max="6403" width="17.7109375" style="365" customWidth="1"/>
    <col min="6404" max="6404" width="20.5703125" style="365" customWidth="1"/>
    <col min="6405" max="6408" width="16.5703125" style="365" customWidth="1"/>
    <col min="6409" max="6417" width="17.7109375" style="365" customWidth="1"/>
    <col min="6418" max="6418" width="13.7109375" style="365" customWidth="1"/>
    <col min="6419" max="6419" width="22.7109375" style="365" customWidth="1"/>
    <col min="6420" max="6420" width="7.7109375" style="365" customWidth="1"/>
    <col min="6421" max="6656" width="11.42578125" style="365"/>
    <col min="6657" max="6657" width="2" style="365" customWidth="1"/>
    <col min="6658" max="6659" width="17.7109375" style="365" customWidth="1"/>
    <col min="6660" max="6660" width="20.5703125" style="365" customWidth="1"/>
    <col min="6661" max="6664" width="16.5703125" style="365" customWidth="1"/>
    <col min="6665" max="6673" width="17.7109375" style="365" customWidth="1"/>
    <col min="6674" max="6674" width="13.7109375" style="365" customWidth="1"/>
    <col min="6675" max="6675" width="22.7109375" style="365" customWidth="1"/>
    <col min="6676" max="6676" width="7.7109375" style="365" customWidth="1"/>
    <col min="6677" max="6912" width="11.42578125" style="365"/>
    <col min="6913" max="6913" width="2" style="365" customWidth="1"/>
    <col min="6914" max="6915" width="17.7109375" style="365" customWidth="1"/>
    <col min="6916" max="6916" width="20.5703125" style="365" customWidth="1"/>
    <col min="6917" max="6920" width="16.5703125" style="365" customWidth="1"/>
    <col min="6921" max="6929" width="17.7109375" style="365" customWidth="1"/>
    <col min="6930" max="6930" width="13.7109375" style="365" customWidth="1"/>
    <col min="6931" max="6931" width="22.7109375" style="365" customWidth="1"/>
    <col min="6932" max="6932" width="7.7109375" style="365" customWidth="1"/>
    <col min="6933" max="7168" width="11.42578125" style="365"/>
    <col min="7169" max="7169" width="2" style="365" customWidth="1"/>
    <col min="7170" max="7171" width="17.7109375" style="365" customWidth="1"/>
    <col min="7172" max="7172" width="20.5703125" style="365" customWidth="1"/>
    <col min="7173" max="7176" width="16.5703125" style="365" customWidth="1"/>
    <col min="7177" max="7185" width="17.7109375" style="365" customWidth="1"/>
    <col min="7186" max="7186" width="13.7109375" style="365" customWidth="1"/>
    <col min="7187" max="7187" width="22.7109375" style="365" customWidth="1"/>
    <col min="7188" max="7188" width="7.7109375" style="365" customWidth="1"/>
    <col min="7189" max="7424" width="11.42578125" style="365"/>
    <col min="7425" max="7425" width="2" style="365" customWidth="1"/>
    <col min="7426" max="7427" width="17.7109375" style="365" customWidth="1"/>
    <col min="7428" max="7428" width="20.5703125" style="365" customWidth="1"/>
    <col min="7429" max="7432" width="16.5703125" style="365" customWidth="1"/>
    <col min="7433" max="7441" width="17.7109375" style="365" customWidth="1"/>
    <col min="7442" max="7442" width="13.7109375" style="365" customWidth="1"/>
    <col min="7443" max="7443" width="22.7109375" style="365" customWidth="1"/>
    <col min="7444" max="7444" width="7.7109375" style="365" customWidth="1"/>
    <col min="7445" max="7680" width="11.42578125" style="365"/>
    <col min="7681" max="7681" width="2" style="365" customWidth="1"/>
    <col min="7682" max="7683" width="17.7109375" style="365" customWidth="1"/>
    <col min="7684" max="7684" width="20.5703125" style="365" customWidth="1"/>
    <col min="7685" max="7688" width="16.5703125" style="365" customWidth="1"/>
    <col min="7689" max="7697" width="17.7109375" style="365" customWidth="1"/>
    <col min="7698" max="7698" width="13.7109375" style="365" customWidth="1"/>
    <col min="7699" max="7699" width="22.7109375" style="365" customWidth="1"/>
    <col min="7700" max="7700" width="7.7109375" style="365" customWidth="1"/>
    <col min="7701" max="7936" width="11.42578125" style="365"/>
    <col min="7937" max="7937" width="2" style="365" customWidth="1"/>
    <col min="7938" max="7939" width="17.7109375" style="365" customWidth="1"/>
    <col min="7940" max="7940" width="20.5703125" style="365" customWidth="1"/>
    <col min="7941" max="7944" width="16.5703125" style="365" customWidth="1"/>
    <col min="7945" max="7953" width="17.7109375" style="365" customWidth="1"/>
    <col min="7954" max="7954" width="13.7109375" style="365" customWidth="1"/>
    <col min="7955" max="7955" width="22.7109375" style="365" customWidth="1"/>
    <col min="7956" max="7956" width="7.7109375" style="365" customWidth="1"/>
    <col min="7957" max="8192" width="11.42578125" style="365"/>
    <col min="8193" max="8193" width="2" style="365" customWidth="1"/>
    <col min="8194" max="8195" width="17.7109375" style="365" customWidth="1"/>
    <col min="8196" max="8196" width="20.5703125" style="365" customWidth="1"/>
    <col min="8197" max="8200" width="16.5703125" style="365" customWidth="1"/>
    <col min="8201" max="8209" width="17.7109375" style="365" customWidth="1"/>
    <col min="8210" max="8210" width="13.7109375" style="365" customWidth="1"/>
    <col min="8211" max="8211" width="22.7109375" style="365" customWidth="1"/>
    <col min="8212" max="8212" width="7.7109375" style="365" customWidth="1"/>
    <col min="8213" max="8448" width="11.42578125" style="365"/>
    <col min="8449" max="8449" width="2" style="365" customWidth="1"/>
    <col min="8450" max="8451" width="17.7109375" style="365" customWidth="1"/>
    <col min="8452" max="8452" width="20.5703125" style="365" customWidth="1"/>
    <col min="8453" max="8456" width="16.5703125" style="365" customWidth="1"/>
    <col min="8457" max="8465" width="17.7109375" style="365" customWidth="1"/>
    <col min="8466" max="8466" width="13.7109375" style="365" customWidth="1"/>
    <col min="8467" max="8467" width="22.7109375" style="365" customWidth="1"/>
    <col min="8468" max="8468" width="7.7109375" style="365" customWidth="1"/>
    <col min="8469" max="8704" width="11.42578125" style="365"/>
    <col min="8705" max="8705" width="2" style="365" customWidth="1"/>
    <col min="8706" max="8707" width="17.7109375" style="365" customWidth="1"/>
    <col min="8708" max="8708" width="20.5703125" style="365" customWidth="1"/>
    <col min="8709" max="8712" width="16.5703125" style="365" customWidth="1"/>
    <col min="8713" max="8721" width="17.7109375" style="365" customWidth="1"/>
    <col min="8722" max="8722" width="13.7109375" style="365" customWidth="1"/>
    <col min="8723" max="8723" width="22.7109375" style="365" customWidth="1"/>
    <col min="8724" max="8724" width="7.7109375" style="365" customWidth="1"/>
    <col min="8725" max="8960" width="11.42578125" style="365"/>
    <col min="8961" max="8961" width="2" style="365" customWidth="1"/>
    <col min="8962" max="8963" width="17.7109375" style="365" customWidth="1"/>
    <col min="8964" max="8964" width="20.5703125" style="365" customWidth="1"/>
    <col min="8965" max="8968" width="16.5703125" style="365" customWidth="1"/>
    <col min="8969" max="8977" width="17.7109375" style="365" customWidth="1"/>
    <col min="8978" max="8978" width="13.7109375" style="365" customWidth="1"/>
    <col min="8979" max="8979" width="22.7109375" style="365" customWidth="1"/>
    <col min="8980" max="8980" width="7.7109375" style="365" customWidth="1"/>
    <col min="8981" max="9216" width="11.42578125" style="365"/>
    <col min="9217" max="9217" width="2" style="365" customWidth="1"/>
    <col min="9218" max="9219" width="17.7109375" style="365" customWidth="1"/>
    <col min="9220" max="9220" width="20.5703125" style="365" customWidth="1"/>
    <col min="9221" max="9224" width="16.5703125" style="365" customWidth="1"/>
    <col min="9225" max="9233" width="17.7109375" style="365" customWidth="1"/>
    <col min="9234" max="9234" width="13.7109375" style="365" customWidth="1"/>
    <col min="9235" max="9235" width="22.7109375" style="365" customWidth="1"/>
    <col min="9236" max="9236" width="7.7109375" style="365" customWidth="1"/>
    <col min="9237" max="9472" width="11.42578125" style="365"/>
    <col min="9473" max="9473" width="2" style="365" customWidth="1"/>
    <col min="9474" max="9475" width="17.7109375" style="365" customWidth="1"/>
    <col min="9476" max="9476" width="20.5703125" style="365" customWidth="1"/>
    <col min="9477" max="9480" width="16.5703125" style="365" customWidth="1"/>
    <col min="9481" max="9489" width="17.7109375" style="365" customWidth="1"/>
    <col min="9490" max="9490" width="13.7109375" style="365" customWidth="1"/>
    <col min="9491" max="9491" width="22.7109375" style="365" customWidth="1"/>
    <col min="9492" max="9492" width="7.7109375" style="365" customWidth="1"/>
    <col min="9493" max="9728" width="11.42578125" style="365"/>
    <col min="9729" max="9729" width="2" style="365" customWidth="1"/>
    <col min="9730" max="9731" width="17.7109375" style="365" customWidth="1"/>
    <col min="9732" max="9732" width="20.5703125" style="365" customWidth="1"/>
    <col min="9733" max="9736" width="16.5703125" style="365" customWidth="1"/>
    <col min="9737" max="9745" width="17.7109375" style="365" customWidth="1"/>
    <col min="9746" max="9746" width="13.7109375" style="365" customWidth="1"/>
    <col min="9747" max="9747" width="22.7109375" style="365" customWidth="1"/>
    <col min="9748" max="9748" width="7.7109375" style="365" customWidth="1"/>
    <col min="9749" max="9984" width="11.42578125" style="365"/>
    <col min="9985" max="9985" width="2" style="365" customWidth="1"/>
    <col min="9986" max="9987" width="17.7109375" style="365" customWidth="1"/>
    <col min="9988" max="9988" width="20.5703125" style="365" customWidth="1"/>
    <col min="9989" max="9992" width="16.5703125" style="365" customWidth="1"/>
    <col min="9993" max="10001" width="17.7109375" style="365" customWidth="1"/>
    <col min="10002" max="10002" width="13.7109375" style="365" customWidth="1"/>
    <col min="10003" max="10003" width="22.7109375" style="365" customWidth="1"/>
    <col min="10004" max="10004" width="7.7109375" style="365" customWidth="1"/>
    <col min="10005" max="10240" width="11.42578125" style="365"/>
    <col min="10241" max="10241" width="2" style="365" customWidth="1"/>
    <col min="10242" max="10243" width="17.7109375" style="365" customWidth="1"/>
    <col min="10244" max="10244" width="20.5703125" style="365" customWidth="1"/>
    <col min="10245" max="10248" width="16.5703125" style="365" customWidth="1"/>
    <col min="10249" max="10257" width="17.7109375" style="365" customWidth="1"/>
    <col min="10258" max="10258" width="13.7109375" style="365" customWidth="1"/>
    <col min="10259" max="10259" width="22.7109375" style="365" customWidth="1"/>
    <col min="10260" max="10260" width="7.7109375" style="365" customWidth="1"/>
    <col min="10261" max="10496" width="11.42578125" style="365"/>
    <col min="10497" max="10497" width="2" style="365" customWidth="1"/>
    <col min="10498" max="10499" width="17.7109375" style="365" customWidth="1"/>
    <col min="10500" max="10500" width="20.5703125" style="365" customWidth="1"/>
    <col min="10501" max="10504" width="16.5703125" style="365" customWidth="1"/>
    <col min="10505" max="10513" width="17.7109375" style="365" customWidth="1"/>
    <col min="10514" max="10514" width="13.7109375" style="365" customWidth="1"/>
    <col min="10515" max="10515" width="22.7109375" style="365" customWidth="1"/>
    <col min="10516" max="10516" width="7.7109375" style="365" customWidth="1"/>
    <col min="10517" max="10752" width="11.42578125" style="365"/>
    <col min="10753" max="10753" width="2" style="365" customWidth="1"/>
    <col min="10754" max="10755" width="17.7109375" style="365" customWidth="1"/>
    <col min="10756" max="10756" width="20.5703125" style="365" customWidth="1"/>
    <col min="10757" max="10760" width="16.5703125" style="365" customWidth="1"/>
    <col min="10761" max="10769" width="17.7109375" style="365" customWidth="1"/>
    <col min="10770" max="10770" width="13.7109375" style="365" customWidth="1"/>
    <col min="10771" max="10771" width="22.7109375" style="365" customWidth="1"/>
    <col min="10772" max="10772" width="7.7109375" style="365" customWidth="1"/>
    <col min="10773" max="11008" width="11.42578125" style="365"/>
    <col min="11009" max="11009" width="2" style="365" customWidth="1"/>
    <col min="11010" max="11011" width="17.7109375" style="365" customWidth="1"/>
    <col min="11012" max="11012" width="20.5703125" style="365" customWidth="1"/>
    <col min="11013" max="11016" width="16.5703125" style="365" customWidth="1"/>
    <col min="11017" max="11025" width="17.7109375" style="365" customWidth="1"/>
    <col min="11026" max="11026" width="13.7109375" style="365" customWidth="1"/>
    <col min="11027" max="11027" width="22.7109375" style="365" customWidth="1"/>
    <col min="11028" max="11028" width="7.7109375" style="365" customWidth="1"/>
    <col min="11029" max="11264" width="11.42578125" style="365"/>
    <col min="11265" max="11265" width="2" style="365" customWidth="1"/>
    <col min="11266" max="11267" width="17.7109375" style="365" customWidth="1"/>
    <col min="11268" max="11268" width="20.5703125" style="365" customWidth="1"/>
    <col min="11269" max="11272" width="16.5703125" style="365" customWidth="1"/>
    <col min="11273" max="11281" width="17.7109375" style="365" customWidth="1"/>
    <col min="11282" max="11282" width="13.7109375" style="365" customWidth="1"/>
    <col min="11283" max="11283" width="22.7109375" style="365" customWidth="1"/>
    <col min="11284" max="11284" width="7.7109375" style="365" customWidth="1"/>
    <col min="11285" max="11520" width="11.42578125" style="365"/>
    <col min="11521" max="11521" width="2" style="365" customWidth="1"/>
    <col min="11522" max="11523" width="17.7109375" style="365" customWidth="1"/>
    <col min="11524" max="11524" width="20.5703125" style="365" customWidth="1"/>
    <col min="11525" max="11528" width="16.5703125" style="365" customWidth="1"/>
    <col min="11529" max="11537" width="17.7109375" style="365" customWidth="1"/>
    <col min="11538" max="11538" width="13.7109375" style="365" customWidth="1"/>
    <col min="11539" max="11539" width="22.7109375" style="365" customWidth="1"/>
    <col min="11540" max="11540" width="7.7109375" style="365" customWidth="1"/>
    <col min="11541" max="11776" width="11.42578125" style="365"/>
    <col min="11777" max="11777" width="2" style="365" customWidth="1"/>
    <col min="11778" max="11779" width="17.7109375" style="365" customWidth="1"/>
    <col min="11780" max="11780" width="20.5703125" style="365" customWidth="1"/>
    <col min="11781" max="11784" width="16.5703125" style="365" customWidth="1"/>
    <col min="11785" max="11793" width="17.7109375" style="365" customWidth="1"/>
    <col min="11794" max="11794" width="13.7109375" style="365" customWidth="1"/>
    <col min="11795" max="11795" width="22.7109375" style="365" customWidth="1"/>
    <col min="11796" max="11796" width="7.7109375" style="365" customWidth="1"/>
    <col min="11797" max="12032" width="11.42578125" style="365"/>
    <col min="12033" max="12033" width="2" style="365" customWidth="1"/>
    <col min="12034" max="12035" width="17.7109375" style="365" customWidth="1"/>
    <col min="12036" max="12036" width="20.5703125" style="365" customWidth="1"/>
    <col min="12037" max="12040" width="16.5703125" style="365" customWidth="1"/>
    <col min="12041" max="12049" width="17.7109375" style="365" customWidth="1"/>
    <col min="12050" max="12050" width="13.7109375" style="365" customWidth="1"/>
    <col min="12051" max="12051" width="22.7109375" style="365" customWidth="1"/>
    <col min="12052" max="12052" width="7.7109375" style="365" customWidth="1"/>
    <col min="12053" max="12288" width="11.42578125" style="365"/>
    <col min="12289" max="12289" width="2" style="365" customWidth="1"/>
    <col min="12290" max="12291" width="17.7109375" style="365" customWidth="1"/>
    <col min="12292" max="12292" width="20.5703125" style="365" customWidth="1"/>
    <col min="12293" max="12296" width="16.5703125" style="365" customWidth="1"/>
    <col min="12297" max="12305" width="17.7109375" style="365" customWidth="1"/>
    <col min="12306" max="12306" width="13.7109375" style="365" customWidth="1"/>
    <col min="12307" max="12307" width="22.7109375" style="365" customWidth="1"/>
    <col min="12308" max="12308" width="7.7109375" style="365" customWidth="1"/>
    <col min="12309" max="12544" width="11.42578125" style="365"/>
    <col min="12545" max="12545" width="2" style="365" customWidth="1"/>
    <col min="12546" max="12547" width="17.7109375" style="365" customWidth="1"/>
    <col min="12548" max="12548" width="20.5703125" style="365" customWidth="1"/>
    <col min="12549" max="12552" width="16.5703125" style="365" customWidth="1"/>
    <col min="12553" max="12561" width="17.7109375" style="365" customWidth="1"/>
    <col min="12562" max="12562" width="13.7109375" style="365" customWidth="1"/>
    <col min="12563" max="12563" width="22.7109375" style="365" customWidth="1"/>
    <col min="12564" max="12564" width="7.7109375" style="365" customWidth="1"/>
    <col min="12565" max="12800" width="11.42578125" style="365"/>
    <col min="12801" max="12801" width="2" style="365" customWidth="1"/>
    <col min="12802" max="12803" width="17.7109375" style="365" customWidth="1"/>
    <col min="12804" max="12804" width="20.5703125" style="365" customWidth="1"/>
    <col min="12805" max="12808" width="16.5703125" style="365" customWidth="1"/>
    <col min="12809" max="12817" width="17.7109375" style="365" customWidth="1"/>
    <col min="12818" max="12818" width="13.7109375" style="365" customWidth="1"/>
    <col min="12819" max="12819" width="22.7109375" style="365" customWidth="1"/>
    <col min="12820" max="12820" width="7.7109375" style="365" customWidth="1"/>
    <col min="12821" max="13056" width="11.42578125" style="365"/>
    <col min="13057" max="13057" width="2" style="365" customWidth="1"/>
    <col min="13058" max="13059" width="17.7109375" style="365" customWidth="1"/>
    <col min="13060" max="13060" width="20.5703125" style="365" customWidth="1"/>
    <col min="13061" max="13064" width="16.5703125" style="365" customWidth="1"/>
    <col min="13065" max="13073" width="17.7109375" style="365" customWidth="1"/>
    <col min="13074" max="13074" width="13.7109375" style="365" customWidth="1"/>
    <col min="13075" max="13075" width="22.7109375" style="365" customWidth="1"/>
    <col min="13076" max="13076" width="7.7109375" style="365" customWidth="1"/>
    <col min="13077" max="13312" width="11.42578125" style="365"/>
    <col min="13313" max="13313" width="2" style="365" customWidth="1"/>
    <col min="13314" max="13315" width="17.7109375" style="365" customWidth="1"/>
    <col min="13316" max="13316" width="20.5703125" style="365" customWidth="1"/>
    <col min="13317" max="13320" width="16.5703125" style="365" customWidth="1"/>
    <col min="13321" max="13329" width="17.7109375" style="365" customWidth="1"/>
    <col min="13330" max="13330" width="13.7109375" style="365" customWidth="1"/>
    <col min="13331" max="13331" width="22.7109375" style="365" customWidth="1"/>
    <col min="13332" max="13332" width="7.7109375" style="365" customWidth="1"/>
    <col min="13333" max="13568" width="11.42578125" style="365"/>
    <col min="13569" max="13569" width="2" style="365" customWidth="1"/>
    <col min="13570" max="13571" width="17.7109375" style="365" customWidth="1"/>
    <col min="13572" max="13572" width="20.5703125" style="365" customWidth="1"/>
    <col min="13573" max="13576" width="16.5703125" style="365" customWidth="1"/>
    <col min="13577" max="13585" width="17.7109375" style="365" customWidth="1"/>
    <col min="13586" max="13586" width="13.7109375" style="365" customWidth="1"/>
    <col min="13587" max="13587" width="22.7109375" style="365" customWidth="1"/>
    <col min="13588" max="13588" width="7.7109375" style="365" customWidth="1"/>
    <col min="13589" max="13824" width="11.42578125" style="365"/>
    <col min="13825" max="13825" width="2" style="365" customWidth="1"/>
    <col min="13826" max="13827" width="17.7109375" style="365" customWidth="1"/>
    <col min="13828" max="13828" width="20.5703125" style="365" customWidth="1"/>
    <col min="13829" max="13832" width="16.5703125" style="365" customWidth="1"/>
    <col min="13833" max="13841" width="17.7109375" style="365" customWidth="1"/>
    <col min="13842" max="13842" width="13.7109375" style="365" customWidth="1"/>
    <col min="13843" max="13843" width="22.7109375" style="365" customWidth="1"/>
    <col min="13844" max="13844" width="7.7109375" style="365" customWidth="1"/>
    <col min="13845" max="14080" width="11.42578125" style="365"/>
    <col min="14081" max="14081" width="2" style="365" customWidth="1"/>
    <col min="14082" max="14083" width="17.7109375" style="365" customWidth="1"/>
    <col min="14084" max="14084" width="20.5703125" style="365" customWidth="1"/>
    <col min="14085" max="14088" width="16.5703125" style="365" customWidth="1"/>
    <col min="14089" max="14097" width="17.7109375" style="365" customWidth="1"/>
    <col min="14098" max="14098" width="13.7109375" style="365" customWidth="1"/>
    <col min="14099" max="14099" width="22.7109375" style="365" customWidth="1"/>
    <col min="14100" max="14100" width="7.7109375" style="365" customWidth="1"/>
    <col min="14101" max="14336" width="11.42578125" style="365"/>
    <col min="14337" max="14337" width="2" style="365" customWidth="1"/>
    <col min="14338" max="14339" width="17.7109375" style="365" customWidth="1"/>
    <col min="14340" max="14340" width="20.5703125" style="365" customWidth="1"/>
    <col min="14341" max="14344" width="16.5703125" style="365" customWidth="1"/>
    <col min="14345" max="14353" width="17.7109375" style="365" customWidth="1"/>
    <col min="14354" max="14354" width="13.7109375" style="365" customWidth="1"/>
    <col min="14355" max="14355" width="22.7109375" style="365" customWidth="1"/>
    <col min="14356" max="14356" width="7.7109375" style="365" customWidth="1"/>
    <col min="14357" max="14592" width="11.42578125" style="365"/>
    <col min="14593" max="14593" width="2" style="365" customWidth="1"/>
    <col min="14594" max="14595" width="17.7109375" style="365" customWidth="1"/>
    <col min="14596" max="14596" width="20.5703125" style="365" customWidth="1"/>
    <col min="14597" max="14600" width="16.5703125" style="365" customWidth="1"/>
    <col min="14601" max="14609" width="17.7109375" style="365" customWidth="1"/>
    <col min="14610" max="14610" width="13.7109375" style="365" customWidth="1"/>
    <col min="14611" max="14611" width="22.7109375" style="365" customWidth="1"/>
    <col min="14612" max="14612" width="7.7109375" style="365" customWidth="1"/>
    <col min="14613" max="14848" width="11.42578125" style="365"/>
    <col min="14849" max="14849" width="2" style="365" customWidth="1"/>
    <col min="14850" max="14851" width="17.7109375" style="365" customWidth="1"/>
    <col min="14852" max="14852" width="20.5703125" style="365" customWidth="1"/>
    <col min="14853" max="14856" width="16.5703125" style="365" customWidth="1"/>
    <col min="14857" max="14865" width="17.7109375" style="365" customWidth="1"/>
    <col min="14866" max="14866" width="13.7109375" style="365" customWidth="1"/>
    <col min="14867" max="14867" width="22.7109375" style="365" customWidth="1"/>
    <col min="14868" max="14868" width="7.7109375" style="365" customWidth="1"/>
    <col min="14869" max="15104" width="11.42578125" style="365"/>
    <col min="15105" max="15105" width="2" style="365" customWidth="1"/>
    <col min="15106" max="15107" width="17.7109375" style="365" customWidth="1"/>
    <col min="15108" max="15108" width="20.5703125" style="365" customWidth="1"/>
    <col min="15109" max="15112" width="16.5703125" style="365" customWidth="1"/>
    <col min="15113" max="15121" width="17.7109375" style="365" customWidth="1"/>
    <col min="15122" max="15122" width="13.7109375" style="365" customWidth="1"/>
    <col min="15123" max="15123" width="22.7109375" style="365" customWidth="1"/>
    <col min="15124" max="15124" width="7.7109375" style="365" customWidth="1"/>
    <col min="15125" max="15360" width="11.42578125" style="365"/>
    <col min="15361" max="15361" width="2" style="365" customWidth="1"/>
    <col min="15362" max="15363" width="17.7109375" style="365" customWidth="1"/>
    <col min="15364" max="15364" width="20.5703125" style="365" customWidth="1"/>
    <col min="15365" max="15368" width="16.5703125" style="365" customWidth="1"/>
    <col min="15369" max="15377" width="17.7109375" style="365" customWidth="1"/>
    <col min="15378" max="15378" width="13.7109375" style="365" customWidth="1"/>
    <col min="15379" max="15379" width="22.7109375" style="365" customWidth="1"/>
    <col min="15380" max="15380" width="7.7109375" style="365" customWidth="1"/>
    <col min="15381" max="15616" width="11.42578125" style="365"/>
    <col min="15617" max="15617" width="2" style="365" customWidth="1"/>
    <col min="15618" max="15619" width="17.7109375" style="365" customWidth="1"/>
    <col min="15620" max="15620" width="20.5703125" style="365" customWidth="1"/>
    <col min="15621" max="15624" width="16.5703125" style="365" customWidth="1"/>
    <col min="15625" max="15633" width="17.7109375" style="365" customWidth="1"/>
    <col min="15634" max="15634" width="13.7109375" style="365" customWidth="1"/>
    <col min="15635" max="15635" width="22.7109375" style="365" customWidth="1"/>
    <col min="15636" max="15636" width="7.7109375" style="365" customWidth="1"/>
    <col min="15637" max="15872" width="11.42578125" style="365"/>
    <col min="15873" max="15873" width="2" style="365" customWidth="1"/>
    <col min="15874" max="15875" width="17.7109375" style="365" customWidth="1"/>
    <col min="15876" max="15876" width="20.5703125" style="365" customWidth="1"/>
    <col min="15877" max="15880" width="16.5703125" style="365" customWidth="1"/>
    <col min="15881" max="15889" width="17.7109375" style="365" customWidth="1"/>
    <col min="15890" max="15890" width="13.7109375" style="365" customWidth="1"/>
    <col min="15891" max="15891" width="22.7109375" style="365" customWidth="1"/>
    <col min="15892" max="15892" width="7.7109375" style="365" customWidth="1"/>
    <col min="15893" max="16128" width="11.42578125" style="365"/>
    <col min="16129" max="16129" width="2" style="365" customWidth="1"/>
    <col min="16130" max="16131" width="17.7109375" style="365" customWidth="1"/>
    <col min="16132" max="16132" width="20.5703125" style="365" customWidth="1"/>
    <col min="16133" max="16136" width="16.5703125" style="365" customWidth="1"/>
    <col min="16137" max="16145" width="17.7109375" style="365" customWidth="1"/>
    <col min="16146" max="16146" width="13.7109375" style="365" customWidth="1"/>
    <col min="16147" max="16147" width="22.7109375" style="365" customWidth="1"/>
    <col min="16148" max="16148" width="7.7109375" style="365" customWidth="1"/>
    <col min="16149" max="16384" width="11.42578125" style="365"/>
  </cols>
  <sheetData>
    <row r="1" spans="1:21" s="419" customFormat="1" ht="30" customHeight="1" thickBot="1" x14ac:dyDescent="0.3">
      <c r="A1" s="418" t="s">
        <v>446</v>
      </c>
      <c r="B1" s="618"/>
      <c r="C1" s="618"/>
      <c r="D1" s="618"/>
      <c r="E1" s="618"/>
      <c r="F1" s="420"/>
      <c r="H1" s="421"/>
      <c r="I1" s="421"/>
      <c r="J1" s="421" t="s">
        <v>447</v>
      </c>
      <c r="K1" s="421"/>
      <c r="L1" s="421"/>
      <c r="M1" s="421"/>
      <c r="N1" s="421"/>
      <c r="O1" s="421"/>
      <c r="P1" s="421"/>
      <c r="Q1" s="421"/>
      <c r="R1" s="522"/>
      <c r="S1" s="522"/>
      <c r="T1" s="522"/>
      <c r="U1" s="523"/>
    </row>
    <row r="2" spans="1:21" s="419" customFormat="1" ht="60" customHeight="1" thickBot="1" x14ac:dyDescent="0.3">
      <c r="B2" s="1180" t="s">
        <v>713</v>
      </c>
      <c r="C2" s="1016"/>
      <c r="D2" s="1016"/>
      <c r="E2" s="1016"/>
      <c r="F2" s="1017"/>
      <c r="G2" s="422"/>
      <c r="H2" s="423"/>
      <c r="I2" s="423"/>
      <c r="J2" s="423"/>
      <c r="K2" s="423"/>
      <c r="L2" s="424"/>
    </row>
    <row r="3" spans="1:21" s="419" customFormat="1" ht="30" customHeight="1" thickBot="1" x14ac:dyDescent="0.3">
      <c r="E3" s="148"/>
      <c r="F3" s="421"/>
      <c r="G3" s="421"/>
      <c r="H3" s="421"/>
      <c r="I3" s="522"/>
      <c r="J3" s="522"/>
      <c r="K3" s="522"/>
      <c r="L3" s="522"/>
      <c r="M3" s="522"/>
      <c r="N3" s="522"/>
      <c r="O3" s="522"/>
      <c r="P3" s="522"/>
      <c r="Q3" s="522"/>
      <c r="R3" s="523"/>
    </row>
    <row r="4" spans="1:21" s="419" customFormat="1" ht="21.6" customHeight="1" thickBot="1" x14ac:dyDescent="0.3">
      <c r="B4" s="619"/>
      <c r="C4" s="620"/>
      <c r="D4" s="621"/>
      <c r="E4" s="1190" t="s">
        <v>448</v>
      </c>
      <c r="F4" s="1191"/>
      <c r="G4" s="1191"/>
      <c r="H4" s="1191"/>
      <c r="I4" s="1191"/>
      <c r="J4" s="1191"/>
      <c r="K4" s="1191"/>
      <c r="L4" s="1191"/>
      <c r="M4" s="1191"/>
      <c r="N4" s="1191"/>
      <c r="O4" s="1191"/>
      <c r="P4" s="1191"/>
      <c r="Q4" s="1191"/>
      <c r="R4" s="1192"/>
    </row>
    <row r="5" spans="1:21" s="419" customFormat="1" ht="15" customHeight="1" x14ac:dyDescent="0.25">
      <c r="A5" s="427"/>
      <c r="B5" s="1181" t="s">
        <v>449</v>
      </c>
      <c r="C5" s="1182"/>
      <c r="D5" s="1183"/>
      <c r="E5" s="1177" t="s">
        <v>702</v>
      </c>
      <c r="F5" s="1177" t="s">
        <v>703</v>
      </c>
      <c r="G5" s="1177" t="s">
        <v>704</v>
      </c>
      <c r="H5" s="1177" t="s">
        <v>705</v>
      </c>
      <c r="I5" s="1177" t="s">
        <v>706</v>
      </c>
      <c r="J5" s="1177" t="s">
        <v>707</v>
      </c>
      <c r="K5" s="1174" t="s">
        <v>708</v>
      </c>
      <c r="L5" s="1174" t="s">
        <v>709</v>
      </c>
      <c r="M5" s="1177" t="s">
        <v>710</v>
      </c>
      <c r="N5" s="1177" t="s">
        <v>711</v>
      </c>
      <c r="O5" s="1177" t="s">
        <v>712</v>
      </c>
      <c r="P5" s="1177" t="s">
        <v>249</v>
      </c>
      <c r="Q5" s="1152" t="s">
        <v>26</v>
      </c>
      <c r="R5" s="1153"/>
    </row>
    <row r="6" spans="1:21" ht="18" customHeight="1" x14ac:dyDescent="0.25">
      <c r="A6" s="430"/>
      <c r="B6" s="1184"/>
      <c r="C6" s="1185"/>
      <c r="D6" s="1186"/>
      <c r="E6" s="1178"/>
      <c r="F6" s="1178"/>
      <c r="G6" s="1178"/>
      <c r="H6" s="1178"/>
      <c r="I6" s="1178"/>
      <c r="J6" s="1178"/>
      <c r="K6" s="1175"/>
      <c r="L6" s="1175"/>
      <c r="M6" s="1178"/>
      <c r="N6" s="1178"/>
      <c r="O6" s="1178"/>
      <c r="P6" s="1178"/>
      <c r="Q6" s="1178" t="s">
        <v>450</v>
      </c>
      <c r="R6" s="1178" t="s">
        <v>451</v>
      </c>
    </row>
    <row r="7" spans="1:21" ht="46.15" customHeight="1" thickBot="1" x14ac:dyDescent="0.3">
      <c r="A7" s="430"/>
      <c r="B7" s="1187"/>
      <c r="C7" s="1188"/>
      <c r="D7" s="1189"/>
      <c r="E7" s="1179"/>
      <c r="F7" s="1179"/>
      <c r="G7" s="1179"/>
      <c r="H7" s="1179"/>
      <c r="I7" s="1179"/>
      <c r="J7" s="1179"/>
      <c r="K7" s="1176"/>
      <c r="L7" s="1176"/>
      <c r="M7" s="1179"/>
      <c r="N7" s="1179"/>
      <c r="O7" s="1179"/>
      <c r="P7" s="1179"/>
      <c r="Q7" s="1179"/>
      <c r="R7" s="1179"/>
    </row>
    <row r="8" spans="1:21" ht="42.95" customHeight="1" x14ac:dyDescent="0.25">
      <c r="B8" s="1159" t="s">
        <v>397</v>
      </c>
      <c r="C8" s="1160"/>
      <c r="D8" s="1161"/>
      <c r="E8" s="622">
        <v>397909.75</v>
      </c>
      <c r="F8" s="623">
        <v>9187.5</v>
      </c>
      <c r="G8" s="622">
        <v>312645</v>
      </c>
      <c r="H8" s="623" t="s">
        <v>452</v>
      </c>
      <c r="I8" s="623" t="s">
        <v>452</v>
      </c>
      <c r="J8" s="623" t="s">
        <v>452</v>
      </c>
      <c r="K8" s="623">
        <v>39100</v>
      </c>
      <c r="L8" s="623">
        <v>40028.5</v>
      </c>
      <c r="M8" s="623" t="s">
        <v>452</v>
      </c>
      <c r="N8" s="623" t="s">
        <v>452</v>
      </c>
      <c r="O8" s="623" t="s">
        <v>452</v>
      </c>
      <c r="P8" s="624">
        <v>0</v>
      </c>
      <c r="Q8" s="623"/>
      <c r="R8" s="623"/>
    </row>
    <row r="9" spans="1:21" ht="42.95" customHeight="1" x14ac:dyDescent="0.25">
      <c r="B9" s="1070" t="s">
        <v>398</v>
      </c>
      <c r="C9" s="1071"/>
      <c r="D9" s="1072"/>
      <c r="E9" s="625">
        <v>81994</v>
      </c>
      <c r="F9" s="625">
        <v>2500</v>
      </c>
      <c r="G9" s="625">
        <v>110488.5</v>
      </c>
      <c r="H9" s="625">
        <v>10066.25</v>
      </c>
      <c r="I9" s="625">
        <v>23125</v>
      </c>
      <c r="J9" s="625">
        <v>11426.25</v>
      </c>
      <c r="K9" s="625">
        <v>19000</v>
      </c>
      <c r="L9" s="625">
        <v>21743.5</v>
      </c>
      <c r="M9" s="625">
        <v>65025</v>
      </c>
      <c r="N9" s="625">
        <v>19383.5</v>
      </c>
      <c r="O9" s="625">
        <v>9867</v>
      </c>
      <c r="P9" s="626">
        <v>12125</v>
      </c>
      <c r="Q9" s="625">
        <f>SUM(E9:O9)</f>
        <v>374619</v>
      </c>
      <c r="R9" s="625">
        <f>Q9-Q18</f>
        <v>180422</v>
      </c>
    </row>
    <row r="10" spans="1:21" ht="42.95" customHeight="1" thickBot="1" x14ac:dyDescent="0.3">
      <c r="B10" s="1162" t="s">
        <v>399</v>
      </c>
      <c r="C10" s="1163"/>
      <c r="D10" s="1164"/>
      <c r="E10" s="627">
        <v>123266.5</v>
      </c>
      <c r="F10" s="627">
        <v>9037.5</v>
      </c>
      <c r="G10" s="627">
        <v>215250</v>
      </c>
      <c r="H10" s="627">
        <v>13545.5</v>
      </c>
      <c r="I10" s="627">
        <v>35308.75</v>
      </c>
      <c r="J10" s="627">
        <v>17429.75</v>
      </c>
      <c r="K10" s="627">
        <v>39100</v>
      </c>
      <c r="L10" s="627">
        <v>25357.5</v>
      </c>
      <c r="M10" s="627">
        <v>115178</v>
      </c>
      <c r="N10" s="627">
        <v>34469</v>
      </c>
      <c r="O10" s="627">
        <v>33468.25</v>
      </c>
      <c r="P10" s="628">
        <v>21506</v>
      </c>
      <c r="Q10" s="627">
        <f>SUM(E10:O10)</f>
        <v>661410.75</v>
      </c>
      <c r="R10" s="627">
        <f>Q10</f>
        <v>661410.75</v>
      </c>
    </row>
    <row r="11" spans="1:21" s="419" customFormat="1" ht="24.95" customHeight="1" thickBot="1" x14ac:dyDescent="0.3">
      <c r="B11" s="983" t="s">
        <v>453</v>
      </c>
      <c r="C11" s="984"/>
      <c r="D11" s="1136"/>
      <c r="E11" s="32">
        <v>0.6651766700603976</v>
      </c>
      <c r="F11" s="32">
        <v>0.27662517289073307</v>
      </c>
      <c r="G11" s="32">
        <v>0.51330313588850174</v>
      </c>
      <c r="H11" s="32">
        <v>0.74314347938429737</v>
      </c>
      <c r="I11" s="32">
        <v>0.65493680744857863</v>
      </c>
      <c r="J11" s="32">
        <v>0.65556017728309357</v>
      </c>
      <c r="K11" s="32">
        <v>0.48593350383631712</v>
      </c>
      <c r="L11" s="32">
        <v>0.85747806368924384</v>
      </c>
      <c r="M11" s="32">
        <v>0.56456094045737903</v>
      </c>
      <c r="N11" s="32">
        <v>0.56234587600452579</v>
      </c>
      <c r="O11" s="32">
        <v>0.29481672928820596</v>
      </c>
      <c r="P11" s="50">
        <v>0.56379614991165261</v>
      </c>
      <c r="Q11" s="32">
        <f>IF(Q10=0,0,Q9/Q10)</f>
        <v>0.56639387853916801</v>
      </c>
      <c r="R11" s="51">
        <f>IF(R10=0,0,R9/R10)</f>
        <v>0.27278359173932387</v>
      </c>
    </row>
    <row r="12" spans="1:21" s="419" customFormat="1" ht="24.95" customHeight="1" thickBot="1" x14ac:dyDescent="0.3">
      <c r="B12" s="629" t="s">
        <v>454</v>
      </c>
      <c r="C12" s="630"/>
      <c r="D12" s="631"/>
      <c r="E12" s="33">
        <v>1.5033600019513622</v>
      </c>
      <c r="F12" s="33">
        <v>3.6149999999999998</v>
      </c>
      <c r="G12" s="33">
        <v>1.9481665512700417</v>
      </c>
      <c r="H12" s="33">
        <v>1.3456351670185025</v>
      </c>
      <c r="I12" s="33">
        <v>1.5268648648648648</v>
      </c>
      <c r="J12" s="33">
        <v>1.5254129745104474</v>
      </c>
      <c r="K12" s="33">
        <v>2.0578947368421052</v>
      </c>
      <c r="L12" s="33">
        <v>1.1662105916710741</v>
      </c>
      <c r="M12" s="33">
        <v>1.7712879661668588</v>
      </c>
      <c r="N12" s="33">
        <v>1.7782650192173757</v>
      </c>
      <c r="O12" s="33">
        <v>3.3919377723725552</v>
      </c>
      <c r="P12" s="52">
        <v>1.7736907216494844</v>
      </c>
      <c r="Q12" s="33">
        <f>IF(Q11=0,"",IF(1/Q11&gt;5,5,1/Q11))</f>
        <v>1.7655558046975726</v>
      </c>
      <c r="R12" s="53">
        <f>IF(R11=0,"",IF(1/R11&gt;5,5,1/R11))</f>
        <v>3.6659096451652236</v>
      </c>
    </row>
    <row r="13" spans="1:21" x14ac:dyDescent="0.25">
      <c r="B13" s="1165" t="s">
        <v>400</v>
      </c>
      <c r="C13" s="1166"/>
      <c r="D13" s="1167"/>
      <c r="E13" s="1083"/>
      <c r="F13" s="1083"/>
      <c r="G13" s="1083"/>
      <c r="H13" s="1083"/>
      <c r="I13" s="1083"/>
      <c r="J13" s="1083"/>
      <c r="K13" s="1083"/>
      <c r="L13" s="1083"/>
      <c r="M13" s="1083"/>
      <c r="N13" s="1083"/>
      <c r="O13" s="1156"/>
      <c r="P13" s="1156"/>
      <c r="Q13" s="1152" t="s">
        <v>26</v>
      </c>
      <c r="R13" s="1153"/>
    </row>
    <row r="14" spans="1:21" ht="15.75" customHeight="1" thickBot="1" x14ac:dyDescent="0.3">
      <c r="B14" s="1168"/>
      <c r="C14" s="1169"/>
      <c r="D14" s="1170"/>
      <c r="E14" s="1084"/>
      <c r="F14" s="1084"/>
      <c r="G14" s="1084"/>
      <c r="H14" s="1084"/>
      <c r="I14" s="1084"/>
      <c r="J14" s="1084"/>
      <c r="K14" s="1084"/>
      <c r="L14" s="1084"/>
      <c r="M14" s="1084"/>
      <c r="N14" s="1084"/>
      <c r="O14" s="1157"/>
      <c r="P14" s="1157"/>
      <c r="Q14" s="1154"/>
      <c r="R14" s="1155"/>
    </row>
    <row r="15" spans="1:21" ht="14.25" customHeight="1" thickBot="1" x14ac:dyDescent="0.3">
      <c r="B15" s="1171"/>
      <c r="C15" s="1172"/>
      <c r="D15" s="1173"/>
      <c r="E15" s="1085"/>
      <c r="F15" s="1085"/>
      <c r="G15" s="1085"/>
      <c r="H15" s="1085"/>
      <c r="I15" s="1085"/>
      <c r="J15" s="1085"/>
      <c r="K15" s="1085"/>
      <c r="L15" s="1085"/>
      <c r="M15" s="1085"/>
      <c r="N15" s="1085"/>
      <c r="O15" s="1158"/>
      <c r="P15" s="1158"/>
      <c r="Q15" s="632" t="s">
        <v>455</v>
      </c>
      <c r="R15" s="633" t="s">
        <v>456</v>
      </c>
    </row>
    <row r="16" spans="1:21" ht="31.9" customHeight="1" x14ac:dyDescent="0.25">
      <c r="B16" s="1146" t="s">
        <v>401</v>
      </c>
      <c r="C16" s="1147"/>
      <c r="D16" s="1148"/>
      <c r="E16" s="634">
        <v>2843.25</v>
      </c>
      <c r="F16" s="634">
        <v>300</v>
      </c>
      <c r="G16" s="634">
        <v>2766.5</v>
      </c>
      <c r="H16" s="634">
        <v>409</v>
      </c>
      <c r="I16" s="634">
        <v>922.5</v>
      </c>
      <c r="J16" s="634">
        <v>228.5</v>
      </c>
      <c r="K16" s="634">
        <v>3420</v>
      </c>
      <c r="L16" s="634">
        <v>2500.5</v>
      </c>
      <c r="M16" s="634">
        <v>13211.5</v>
      </c>
      <c r="N16" s="634">
        <v>1063.75</v>
      </c>
      <c r="O16" s="634">
        <v>600.75</v>
      </c>
      <c r="P16" s="634">
        <v>1300</v>
      </c>
      <c r="Q16" s="635">
        <f t="shared" ref="Q16:Q21" si="0">SUM(E16:P16)</f>
        <v>29566.25</v>
      </c>
      <c r="R16" s="636">
        <f t="shared" ref="R16:R21" si="1">Q16/Q$9</f>
        <v>7.8923519629276684E-2</v>
      </c>
    </row>
    <row r="17" spans="2:19" ht="31.9" customHeight="1" x14ac:dyDescent="0.25">
      <c r="B17" s="1149" t="s">
        <v>402</v>
      </c>
      <c r="C17" s="1150"/>
      <c r="D17" s="1151"/>
      <c r="E17" s="637">
        <v>5102.25</v>
      </c>
      <c r="F17" s="637">
        <v>300</v>
      </c>
      <c r="G17" s="637">
        <v>7710.25</v>
      </c>
      <c r="H17" s="637">
        <v>602.75</v>
      </c>
      <c r="I17" s="637">
        <v>1996.25</v>
      </c>
      <c r="J17" s="637">
        <v>1142.75</v>
      </c>
      <c r="K17" s="637">
        <v>0</v>
      </c>
      <c r="L17" s="637">
        <v>0</v>
      </c>
      <c r="M17" s="637">
        <v>7809.25</v>
      </c>
      <c r="N17" s="637">
        <v>3156.25</v>
      </c>
      <c r="O17" s="637">
        <v>1330</v>
      </c>
      <c r="P17" s="637">
        <v>1300</v>
      </c>
      <c r="Q17" s="638">
        <f t="shared" si="0"/>
        <v>30449.75</v>
      </c>
      <c r="R17" s="639">
        <f t="shared" si="1"/>
        <v>8.1281915759745235E-2</v>
      </c>
    </row>
    <row r="18" spans="2:19" ht="31.9" customHeight="1" x14ac:dyDescent="0.25">
      <c r="B18" s="1149" t="s">
        <v>403</v>
      </c>
      <c r="C18" s="1150"/>
      <c r="D18" s="1151"/>
      <c r="E18" s="640">
        <v>49909.5</v>
      </c>
      <c r="F18" s="640">
        <v>600</v>
      </c>
      <c r="G18" s="640">
        <v>43483.75</v>
      </c>
      <c r="H18" s="640">
        <v>2640.25</v>
      </c>
      <c r="I18" s="640">
        <v>8942.5</v>
      </c>
      <c r="J18" s="640">
        <v>7998.25</v>
      </c>
      <c r="K18" s="640">
        <v>12730</v>
      </c>
      <c r="L18" s="640">
        <v>8621.5</v>
      </c>
      <c r="M18" s="640">
        <v>38839.75</v>
      </c>
      <c r="N18" s="640">
        <v>6475.5</v>
      </c>
      <c r="O18" s="640">
        <v>7206</v>
      </c>
      <c r="P18" s="640">
        <v>6750</v>
      </c>
      <c r="Q18" s="638">
        <f t="shared" si="0"/>
        <v>194197</v>
      </c>
      <c r="R18" s="639">
        <f t="shared" si="1"/>
        <v>0.51838534617838394</v>
      </c>
    </row>
    <row r="19" spans="2:19" ht="31.9" customHeight="1" x14ac:dyDescent="0.25">
      <c r="B19" s="1149" t="s">
        <v>404</v>
      </c>
      <c r="C19" s="1150"/>
      <c r="D19" s="1151"/>
      <c r="E19" s="640">
        <v>8864.5</v>
      </c>
      <c r="F19" s="640">
        <v>400</v>
      </c>
      <c r="G19" s="640">
        <v>35326.5</v>
      </c>
      <c r="H19" s="640">
        <v>402</v>
      </c>
      <c r="I19" s="640">
        <v>2450</v>
      </c>
      <c r="J19" s="640">
        <v>228.5</v>
      </c>
      <c r="K19" s="640">
        <v>0</v>
      </c>
      <c r="L19" s="640">
        <v>6117</v>
      </c>
      <c r="M19" s="640">
        <v>0</v>
      </c>
      <c r="N19" s="640">
        <v>1487.5</v>
      </c>
      <c r="O19" s="640">
        <v>3266.25</v>
      </c>
      <c r="P19" s="640">
        <v>350</v>
      </c>
      <c r="Q19" s="638">
        <f t="shared" si="0"/>
        <v>58892.25</v>
      </c>
      <c r="R19" s="639">
        <f t="shared" si="1"/>
        <v>0.15720572101254876</v>
      </c>
    </row>
    <row r="20" spans="2:19" ht="31.9" customHeight="1" x14ac:dyDescent="0.25">
      <c r="B20" s="1149" t="s">
        <v>405</v>
      </c>
      <c r="C20" s="1150"/>
      <c r="D20" s="1151"/>
      <c r="E20" s="640">
        <v>22771.75</v>
      </c>
      <c r="F20" s="640">
        <v>800</v>
      </c>
      <c r="G20" s="640">
        <v>14894</v>
      </c>
      <c r="H20" s="640">
        <v>1607.25</v>
      </c>
      <c r="I20" s="640">
        <v>3869.5</v>
      </c>
      <c r="J20" s="640">
        <v>1828.25</v>
      </c>
      <c r="K20" s="640">
        <v>2850</v>
      </c>
      <c r="L20" s="640">
        <v>1672</v>
      </c>
      <c r="M20" s="640">
        <v>7210.25</v>
      </c>
      <c r="N20" s="640">
        <v>3873.5</v>
      </c>
      <c r="O20" s="640">
        <v>3728.5</v>
      </c>
      <c r="P20" s="640">
        <v>137.5</v>
      </c>
      <c r="Q20" s="638">
        <f t="shared" si="0"/>
        <v>65242.5</v>
      </c>
      <c r="R20" s="639">
        <f t="shared" si="1"/>
        <v>0.17415694345454982</v>
      </c>
    </row>
    <row r="21" spans="2:19" ht="31.9" customHeight="1" thickBot="1" x14ac:dyDescent="0.3">
      <c r="B21" s="1143" t="s">
        <v>406</v>
      </c>
      <c r="C21" s="1144"/>
      <c r="D21" s="1145"/>
      <c r="E21" s="641">
        <v>1660.25</v>
      </c>
      <c r="F21" s="641">
        <v>100</v>
      </c>
      <c r="G21" s="641">
        <v>6151.25</v>
      </c>
      <c r="H21" s="641">
        <v>4405</v>
      </c>
      <c r="I21" s="641">
        <v>1215.25</v>
      </c>
      <c r="J21" s="641">
        <v>0</v>
      </c>
      <c r="K21" s="641">
        <v>0</v>
      </c>
      <c r="L21" s="641">
        <v>0</v>
      </c>
      <c r="M21" s="641">
        <v>0</v>
      </c>
      <c r="N21" s="641">
        <v>0</v>
      </c>
      <c r="O21" s="641" t="s">
        <v>195</v>
      </c>
      <c r="P21" s="641"/>
      <c r="Q21" s="642">
        <f t="shared" si="0"/>
        <v>13531.75</v>
      </c>
      <c r="R21" s="643">
        <f t="shared" si="1"/>
        <v>3.6121365974496757E-2</v>
      </c>
    </row>
    <row r="22" spans="2:19" ht="24" customHeight="1" thickBot="1" x14ac:dyDescent="0.3">
      <c r="B22" s="1143" t="s">
        <v>26</v>
      </c>
      <c r="C22" s="1144" t="s">
        <v>457</v>
      </c>
      <c r="D22" s="1145"/>
      <c r="E22" s="641">
        <f>SUM(E16:E21)</f>
        <v>91151.5</v>
      </c>
      <c r="F22" s="641">
        <f t="shared" ref="F22:O22" si="2">SUM(F16:F21)</f>
        <v>2500</v>
      </c>
      <c r="G22" s="641">
        <f t="shared" si="2"/>
        <v>110332.25</v>
      </c>
      <c r="H22" s="641">
        <f t="shared" si="2"/>
        <v>10066.25</v>
      </c>
      <c r="I22" s="641">
        <f t="shared" si="2"/>
        <v>19396</v>
      </c>
      <c r="J22" s="641">
        <f t="shared" si="2"/>
        <v>11426.25</v>
      </c>
      <c r="K22" s="641">
        <f t="shared" si="2"/>
        <v>19000</v>
      </c>
      <c r="L22" s="641">
        <f t="shared" si="2"/>
        <v>18911</v>
      </c>
      <c r="M22" s="641">
        <f t="shared" si="2"/>
        <v>67070.75</v>
      </c>
      <c r="N22" s="641">
        <f t="shared" si="2"/>
        <v>16056.5</v>
      </c>
      <c r="O22" s="641">
        <f t="shared" si="2"/>
        <v>16131.5</v>
      </c>
      <c r="P22" s="641">
        <f>SUM(P16:P21)</f>
        <v>9837.5</v>
      </c>
      <c r="Q22" s="644">
        <f>SUM(Q16:Q21)</f>
        <v>391879.5</v>
      </c>
      <c r="R22" s="645"/>
      <c r="S22" s="645"/>
    </row>
    <row r="23" spans="2:19" ht="28.9" customHeight="1" thickBot="1" x14ac:dyDescent="0.3">
      <c r="B23" s="1143" t="s">
        <v>458</v>
      </c>
      <c r="C23" s="1144"/>
      <c r="D23" s="1145"/>
      <c r="E23" s="641">
        <f t="shared" ref="E23:Q23" si="3">E22-E9</f>
        <v>9157.5</v>
      </c>
      <c r="F23" s="641">
        <f t="shared" si="3"/>
        <v>0</v>
      </c>
      <c r="G23" s="641">
        <f t="shared" si="3"/>
        <v>-156.25</v>
      </c>
      <c r="H23" s="641">
        <f t="shared" si="3"/>
        <v>0</v>
      </c>
      <c r="I23" s="641">
        <f t="shared" si="3"/>
        <v>-3729</v>
      </c>
      <c r="J23" s="641">
        <f t="shared" si="3"/>
        <v>0</v>
      </c>
      <c r="K23" s="641">
        <f t="shared" si="3"/>
        <v>0</v>
      </c>
      <c r="L23" s="641">
        <f t="shared" si="3"/>
        <v>-2832.5</v>
      </c>
      <c r="M23" s="641">
        <f t="shared" si="3"/>
        <v>2045.75</v>
      </c>
      <c r="N23" s="641">
        <f t="shared" si="3"/>
        <v>-3327</v>
      </c>
      <c r="O23" s="641">
        <f t="shared" si="3"/>
        <v>6264.5</v>
      </c>
      <c r="P23" s="641">
        <f>P22-P9</f>
        <v>-2287.5</v>
      </c>
      <c r="Q23" s="641">
        <f t="shared" si="3"/>
        <v>17260.5</v>
      </c>
    </row>
    <row r="24" spans="2:19" ht="24" customHeight="1" thickBot="1" x14ac:dyDescent="0.3">
      <c r="B24" s="1143" t="s">
        <v>459</v>
      </c>
      <c r="C24" s="1144"/>
      <c r="D24" s="1145"/>
      <c r="E24" s="646">
        <f>E18/E10</f>
        <v>0.40489102878722116</v>
      </c>
      <c r="F24" s="646">
        <f t="shared" ref="F24:O24" si="4">F18/F10</f>
        <v>6.6390041493775934E-2</v>
      </c>
      <c r="G24" s="646">
        <f t="shared" si="4"/>
        <v>0.2020150987224158</v>
      </c>
      <c r="H24" s="646">
        <f t="shared" si="4"/>
        <v>0.19491713115056661</v>
      </c>
      <c r="I24" s="646">
        <f t="shared" si="4"/>
        <v>0.25326583353984494</v>
      </c>
      <c r="J24" s="646">
        <f t="shared" si="4"/>
        <v>0.45888495245198585</v>
      </c>
      <c r="K24" s="646">
        <f t="shared" si="4"/>
        <v>0.32557544757033247</v>
      </c>
      <c r="L24" s="646">
        <f t="shared" si="4"/>
        <v>0.33999802819678598</v>
      </c>
      <c r="M24" s="646">
        <f t="shared" si="4"/>
        <v>0.33721500633801593</v>
      </c>
      <c r="N24" s="646">
        <f t="shared" si="4"/>
        <v>0.18786445791870957</v>
      </c>
      <c r="O24" s="646">
        <f t="shared" si="4"/>
        <v>0.21530853868965363</v>
      </c>
      <c r="P24" s="646">
        <f>P18/P10</f>
        <v>0.31386589788896124</v>
      </c>
      <c r="Q24" s="646">
        <f>Q18/Q10</f>
        <v>0.29361028679984413</v>
      </c>
    </row>
  </sheetData>
  <sheetProtection sheet="1" objects="1" scenarios="1"/>
  <mergeCells count="45">
    <mergeCell ref="B2:F2"/>
    <mergeCell ref="B5:D7"/>
    <mergeCell ref="E5:E7"/>
    <mergeCell ref="F5:F7"/>
    <mergeCell ref="G5:G7"/>
    <mergeCell ref="E4:R4"/>
    <mergeCell ref="P5:P7"/>
    <mergeCell ref="Q5:R5"/>
    <mergeCell ref="Q6:Q7"/>
    <mergeCell ref="R6:R7"/>
    <mergeCell ref="I5:I7"/>
    <mergeCell ref="J5:J7"/>
    <mergeCell ref="K5:K7"/>
    <mergeCell ref="E13:E15"/>
    <mergeCell ref="L5:L7"/>
    <mergeCell ref="M5:M7"/>
    <mergeCell ref="N5:N7"/>
    <mergeCell ref="O5:O7"/>
    <mergeCell ref="H5:H7"/>
    <mergeCell ref="B8:D8"/>
    <mergeCell ref="B9:D9"/>
    <mergeCell ref="B10:D10"/>
    <mergeCell ref="B11:D11"/>
    <mergeCell ref="B13:D15"/>
    <mergeCell ref="Q13:R14"/>
    <mergeCell ref="F13:F15"/>
    <mergeCell ref="G13:G15"/>
    <mergeCell ref="H13:H15"/>
    <mergeCell ref="I13:I15"/>
    <mergeCell ref="J13:J15"/>
    <mergeCell ref="K13:K15"/>
    <mergeCell ref="L13:L15"/>
    <mergeCell ref="M13:M15"/>
    <mergeCell ref="N13:N15"/>
    <mergeCell ref="O13:O15"/>
    <mergeCell ref="P13:P15"/>
    <mergeCell ref="B22:D22"/>
    <mergeCell ref="B23:D23"/>
    <mergeCell ref="B24:D24"/>
    <mergeCell ref="B16:D16"/>
    <mergeCell ref="B17:D17"/>
    <mergeCell ref="B18:D18"/>
    <mergeCell ref="B19:D19"/>
    <mergeCell ref="B20:D20"/>
    <mergeCell ref="B21:D21"/>
  </mergeCells>
  <printOptions horizontalCentered="1" verticalCentered="1"/>
  <pageMargins left="0.70866141732283472" right="0.70866141732283472" top="0.98425196850393704" bottom="0.78740157480314965" header="0.31496062992125984" footer="0.31496062992125984"/>
  <pageSetup paperSize="8" scale="64"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 r:id="rId2"/>
  <legacyDrawingHF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53"/>
  <sheetViews>
    <sheetView zoomScale="85" zoomScaleNormal="85" zoomScaleSheetLayoutView="75" workbookViewId="0"/>
  </sheetViews>
  <sheetFormatPr baseColWidth="10" defaultColWidth="11.42578125" defaultRowHeight="20.25" outlineLevelRow="1" x14ac:dyDescent="0.25"/>
  <cols>
    <col min="1" max="1" width="28.7109375" style="654" customWidth="1"/>
    <col min="2" max="2" width="26.7109375" style="654" customWidth="1"/>
    <col min="3" max="3" width="28.7109375" style="654" customWidth="1"/>
    <col min="4" max="5" width="26.7109375" style="654" customWidth="1"/>
    <col min="6" max="6" width="25.7109375" style="694" customWidth="1"/>
    <col min="7" max="10" width="29.7109375" style="709" customWidth="1"/>
    <col min="11" max="11" width="5.7109375" style="706" customWidth="1"/>
    <col min="12" max="12" width="17.7109375" style="654" customWidth="1"/>
    <col min="13" max="15" width="16.140625" style="654" customWidth="1"/>
    <col min="16" max="16384" width="11.42578125" style="654"/>
  </cols>
  <sheetData>
    <row r="1" spans="1:15" x14ac:dyDescent="0.25">
      <c r="A1" s="647" t="s">
        <v>76</v>
      </c>
      <c r="B1" s="648"/>
      <c r="C1" s="649"/>
      <c r="D1" s="649"/>
      <c r="E1" s="649"/>
      <c r="F1" s="650"/>
      <c r="G1" s="651"/>
      <c r="H1" s="652"/>
      <c r="I1" s="652"/>
      <c r="J1" s="652"/>
      <c r="K1" s="653"/>
    </row>
    <row r="2" spans="1:15" ht="21" thickBot="1" x14ac:dyDescent="0.3">
      <c r="A2" s="655" t="s">
        <v>77</v>
      </c>
      <c r="B2" s="656"/>
      <c r="C2" s="657"/>
      <c r="D2" s="657"/>
      <c r="E2" s="657"/>
      <c r="F2" s="658"/>
      <c r="G2" s="659"/>
      <c r="H2" s="652"/>
      <c r="I2" s="652"/>
      <c r="J2" s="652"/>
      <c r="K2" s="653"/>
    </row>
    <row r="3" spans="1:15" ht="9.9499999999999993" customHeight="1" x14ac:dyDescent="0.25">
      <c r="A3" s="660"/>
      <c r="B3" s="661"/>
      <c r="C3" s="662"/>
      <c r="D3" s="662"/>
      <c r="E3" s="662"/>
      <c r="F3" s="663"/>
      <c r="G3" s="664"/>
      <c r="H3" s="664"/>
      <c r="I3" s="664"/>
      <c r="J3" s="664"/>
      <c r="K3" s="665"/>
      <c r="L3" s="662"/>
    </row>
    <row r="4" spans="1:15" ht="20.25" customHeight="1" x14ac:dyDescent="0.25">
      <c r="A4" s="660"/>
      <c r="B4" s="661"/>
      <c r="C4" s="662"/>
      <c r="D4" s="662"/>
      <c r="E4" s="662"/>
      <c r="F4" s="663"/>
      <c r="G4" s="671"/>
      <c r="H4" s="671"/>
      <c r="I4" s="671"/>
      <c r="J4" s="671"/>
      <c r="K4" s="665"/>
      <c r="L4" s="662"/>
    </row>
    <row r="5" spans="1:15" ht="12" customHeight="1" x14ac:dyDescent="0.25">
      <c r="A5" s="660"/>
      <c r="B5" s="661"/>
      <c r="C5" s="662"/>
      <c r="D5" s="662"/>
      <c r="E5" s="662"/>
      <c r="F5" s="663"/>
      <c r="G5" s="671"/>
      <c r="H5" s="671"/>
      <c r="I5" s="671"/>
      <c r="J5" s="671"/>
      <c r="K5" s="665"/>
      <c r="L5" s="662"/>
    </row>
    <row r="6" spans="1:15" ht="32.25" customHeight="1" x14ac:dyDescent="0.25">
      <c r="A6" s="660"/>
      <c r="B6" s="667" t="s">
        <v>78</v>
      </c>
      <c r="C6" s="668" t="s">
        <v>79</v>
      </c>
      <c r="D6" s="669" t="s">
        <v>80</v>
      </c>
      <c r="E6" s="669" t="s">
        <v>81</v>
      </c>
      <c r="F6" s="670"/>
      <c r="G6" s="671"/>
      <c r="H6" s="671"/>
      <c r="I6" s="671"/>
      <c r="J6" s="671"/>
      <c r="K6" s="665"/>
      <c r="L6" s="662"/>
    </row>
    <row r="7" spans="1:15" x14ac:dyDescent="0.25">
      <c r="A7" s="672" t="s">
        <v>82</v>
      </c>
      <c r="B7" s="673">
        <v>69.400000000000006</v>
      </c>
      <c r="C7" s="673">
        <v>62</v>
      </c>
      <c r="D7" s="673">
        <v>35</v>
      </c>
      <c r="E7" s="673"/>
      <c r="F7" s="670"/>
      <c r="G7" s="674"/>
      <c r="H7" s="674"/>
      <c r="I7" s="674"/>
      <c r="J7" s="674"/>
      <c r="K7" s="665"/>
      <c r="L7" s="662"/>
    </row>
    <row r="8" spans="1:15" x14ac:dyDescent="0.25">
      <c r="A8" s="672" t="s">
        <v>83</v>
      </c>
      <c r="B8" s="673">
        <v>7</v>
      </c>
      <c r="C8" s="673">
        <v>7</v>
      </c>
      <c r="D8" s="673">
        <v>6</v>
      </c>
      <c r="E8" s="673"/>
      <c r="F8" s="670"/>
      <c r="G8" s="675"/>
      <c r="H8" s="674"/>
      <c r="I8" s="674"/>
      <c r="J8" s="674"/>
      <c r="K8" s="665"/>
      <c r="L8" s="662"/>
    </row>
    <row r="9" spans="1:15" ht="28.5" x14ac:dyDescent="0.25">
      <c r="A9" s="676" t="s">
        <v>84</v>
      </c>
      <c r="B9" s="673">
        <v>7</v>
      </c>
      <c r="C9" s="673">
        <v>7</v>
      </c>
      <c r="D9" s="673">
        <v>7</v>
      </c>
      <c r="E9" s="673"/>
      <c r="F9" s="670"/>
      <c r="G9" s="677"/>
      <c r="H9" s="677"/>
      <c r="I9" s="677"/>
      <c r="J9" s="677"/>
      <c r="K9" s="665"/>
      <c r="L9" s="662"/>
    </row>
    <row r="10" spans="1:15" x14ac:dyDescent="0.25">
      <c r="A10" s="672" t="s">
        <v>85</v>
      </c>
      <c r="B10" s="673">
        <v>8</v>
      </c>
      <c r="C10" s="673">
        <v>4</v>
      </c>
      <c r="D10" s="673">
        <v>2</v>
      </c>
      <c r="E10" s="673"/>
      <c r="F10" s="670"/>
      <c r="G10" s="677"/>
      <c r="H10" s="677"/>
      <c r="I10" s="677"/>
      <c r="J10" s="677"/>
      <c r="K10" s="665"/>
      <c r="L10" s="662"/>
    </row>
    <row r="11" spans="1:15" ht="20.25" customHeight="1" x14ac:dyDescent="0.25">
      <c r="A11" s="672" t="s">
        <v>86</v>
      </c>
      <c r="B11" s="678">
        <v>0.75</v>
      </c>
      <c r="C11" s="678">
        <v>0.85</v>
      </c>
      <c r="D11" s="678">
        <v>0.95</v>
      </c>
      <c r="E11" s="678"/>
      <c r="F11" s="670"/>
      <c r="G11" s="677"/>
      <c r="H11" s="677"/>
      <c r="I11" s="677"/>
      <c r="J11" s="677"/>
      <c r="K11" s="653"/>
    </row>
    <row r="12" spans="1:15" ht="12" customHeight="1" x14ac:dyDescent="0.25">
      <c r="A12" s="736"/>
      <c r="B12" s="679"/>
      <c r="C12" s="679"/>
      <c r="D12" s="679"/>
      <c r="E12" s="735"/>
      <c r="F12" s="670"/>
      <c r="G12" s="1199" t="s">
        <v>749</v>
      </c>
      <c r="H12" s="1200"/>
      <c r="I12" s="1200"/>
      <c r="J12" s="1201"/>
      <c r="K12" s="653"/>
    </row>
    <row r="13" spans="1:15" ht="29.25" customHeight="1" x14ac:dyDescent="0.25">
      <c r="A13" s="681" t="s">
        <v>87</v>
      </c>
      <c r="B13" s="682">
        <f>'Anzahl Kundencenter-VK-Plätze'!D68</f>
        <v>2</v>
      </c>
      <c r="C13" s="682">
        <f>'Anzahl Kundencenter-VK-Plätze'!C68</f>
        <v>23</v>
      </c>
      <c r="D13" s="682">
        <f>'Anzahl Kundencenter-VK-Plätze'!B68</f>
        <v>20</v>
      </c>
      <c r="E13" s="683">
        <f>Übersicht!$C$44</f>
        <v>1283</v>
      </c>
      <c r="F13" s="670"/>
      <c r="G13" s="1202"/>
      <c r="H13" s="1203"/>
      <c r="I13" s="1203"/>
      <c r="J13" s="1204"/>
      <c r="K13" s="653"/>
    </row>
    <row r="14" spans="1:15" ht="20.25" customHeight="1" x14ac:dyDescent="0.25">
      <c r="A14" s="684" t="s">
        <v>88</v>
      </c>
      <c r="B14" s="685">
        <v>1518558</v>
      </c>
      <c r="C14" s="685">
        <v>810709</v>
      </c>
      <c r="D14" s="685">
        <v>282703</v>
      </c>
      <c r="E14" s="685">
        <v>85000</v>
      </c>
      <c r="F14" s="670"/>
      <c r="G14" s="1193" t="s">
        <v>686</v>
      </c>
      <c r="H14" s="1195" t="s">
        <v>687</v>
      </c>
      <c r="I14" s="1197" t="s">
        <v>688</v>
      </c>
      <c r="J14" s="1197" t="s">
        <v>684</v>
      </c>
      <c r="K14" s="653"/>
    </row>
    <row r="15" spans="1:15" ht="12" customHeight="1" thickBot="1" x14ac:dyDescent="0.3">
      <c r="A15" s="736"/>
      <c r="B15" s="679"/>
      <c r="C15" s="679"/>
      <c r="D15" s="679"/>
      <c r="E15" s="735"/>
      <c r="F15" s="670"/>
      <c r="G15" s="1194"/>
      <c r="H15" s="1196"/>
      <c r="I15" s="1198"/>
      <c r="J15" s="1198"/>
      <c r="K15" s="653"/>
    </row>
    <row r="16" spans="1:15" ht="32.25" customHeight="1" x14ac:dyDescent="0.25">
      <c r="A16" s="686" t="s">
        <v>89</v>
      </c>
      <c r="B16" s="687">
        <v>12</v>
      </c>
      <c r="C16" s="687">
        <v>6</v>
      </c>
      <c r="D16" s="687">
        <v>2</v>
      </c>
      <c r="E16" s="688"/>
      <c r="F16" s="689" t="s">
        <v>90</v>
      </c>
      <c r="G16" s="690">
        <f>B16*B17</f>
        <v>420000</v>
      </c>
      <c r="H16" s="690">
        <f>C16*C17</f>
        <v>210000</v>
      </c>
      <c r="I16" s="691">
        <f>D16*D17</f>
        <v>70000</v>
      </c>
      <c r="J16" s="691">
        <f>E16*E17</f>
        <v>0</v>
      </c>
      <c r="K16" s="1205" t="s">
        <v>91</v>
      </c>
      <c r="M16" s="692"/>
      <c r="N16" s="692"/>
      <c r="O16" s="692"/>
    </row>
    <row r="17" spans="1:13" ht="32.25" customHeight="1" x14ac:dyDescent="0.25">
      <c r="A17" s="686" t="s">
        <v>92</v>
      </c>
      <c r="B17" s="685">
        <v>35000</v>
      </c>
      <c r="C17" s="685">
        <v>35000</v>
      </c>
      <c r="D17" s="685">
        <v>35000</v>
      </c>
      <c r="E17" s="693"/>
      <c r="G17" s="695"/>
      <c r="H17" s="695"/>
      <c r="I17" s="695"/>
      <c r="J17" s="695"/>
      <c r="K17" s="1206"/>
    </row>
    <row r="18" spans="1:13" ht="32.25" customHeight="1" x14ac:dyDescent="0.25">
      <c r="A18" s="686" t="s">
        <v>93</v>
      </c>
      <c r="B18" s="687">
        <v>1</v>
      </c>
      <c r="C18" s="687">
        <v>1</v>
      </c>
      <c r="D18" s="687">
        <v>0</v>
      </c>
      <c r="E18" s="688"/>
      <c r="G18" s="695"/>
      <c r="H18" s="695"/>
      <c r="I18" s="695"/>
      <c r="J18" s="695"/>
      <c r="K18" s="1206"/>
      <c r="M18" s="692"/>
    </row>
    <row r="19" spans="1:13" ht="32.25" customHeight="1" thickBot="1" x14ac:dyDescent="0.3">
      <c r="A19" s="686" t="s">
        <v>94</v>
      </c>
      <c r="B19" s="685">
        <v>45000</v>
      </c>
      <c r="C19" s="685">
        <v>45000</v>
      </c>
      <c r="D19" s="685">
        <v>45000</v>
      </c>
      <c r="E19" s="693"/>
      <c r="F19" s="689" t="s">
        <v>95</v>
      </c>
      <c r="G19" s="690">
        <f>B18*B19</f>
        <v>45000</v>
      </c>
      <c r="H19" s="690">
        <f>C18*C19</f>
        <v>45000</v>
      </c>
      <c r="I19" s="691">
        <f>D18*D19</f>
        <v>0</v>
      </c>
      <c r="J19" s="691">
        <f>E18*E19</f>
        <v>0</v>
      </c>
      <c r="K19" s="1206"/>
    </row>
    <row r="20" spans="1:13" ht="32.25" customHeight="1" x14ac:dyDescent="0.25">
      <c r="A20" s="686" t="s">
        <v>96</v>
      </c>
      <c r="B20" s="685">
        <v>18</v>
      </c>
      <c r="C20" s="685">
        <v>18</v>
      </c>
      <c r="D20" s="685">
        <v>18</v>
      </c>
      <c r="E20" s="693"/>
      <c r="G20" s="695"/>
      <c r="H20" s="695"/>
      <c r="I20" s="695"/>
      <c r="J20" s="695"/>
      <c r="K20" s="1205" t="s">
        <v>97</v>
      </c>
    </row>
    <row r="21" spans="1:13" ht="32.25" customHeight="1" x14ac:dyDescent="0.25">
      <c r="A21" s="686" t="s">
        <v>98</v>
      </c>
      <c r="B21" s="687">
        <v>217.5</v>
      </c>
      <c r="C21" s="687">
        <v>100</v>
      </c>
      <c r="D21" s="687">
        <v>40</v>
      </c>
      <c r="E21" s="688"/>
      <c r="F21" s="689" t="s">
        <v>99</v>
      </c>
      <c r="G21" s="690">
        <f>(B20*B21)*12</f>
        <v>46980</v>
      </c>
      <c r="H21" s="690">
        <f>(C20*C21)*12</f>
        <v>21600</v>
      </c>
      <c r="I21" s="691">
        <f>(D20*D21)*12</f>
        <v>8640</v>
      </c>
      <c r="J21" s="691">
        <f>(E20*E21)*12</f>
        <v>0</v>
      </c>
      <c r="K21" s="1206"/>
    </row>
    <row r="22" spans="1:13" ht="32.25" customHeight="1" x14ac:dyDescent="0.25">
      <c r="A22" s="686" t="s">
        <v>100</v>
      </c>
      <c r="B22" s="685">
        <v>150</v>
      </c>
      <c r="C22" s="685">
        <v>150</v>
      </c>
      <c r="D22" s="685">
        <v>150</v>
      </c>
      <c r="E22" s="693"/>
      <c r="F22" s="689" t="s">
        <v>101</v>
      </c>
      <c r="G22" s="690">
        <f t="shared" ref="G22:J23" si="0">B22*12</f>
        <v>1800</v>
      </c>
      <c r="H22" s="690">
        <f t="shared" si="0"/>
        <v>1800</v>
      </c>
      <c r="I22" s="691">
        <f t="shared" si="0"/>
        <v>1800</v>
      </c>
      <c r="J22" s="691">
        <f t="shared" si="0"/>
        <v>0</v>
      </c>
      <c r="K22" s="1206"/>
    </row>
    <row r="23" spans="1:13" ht="32.25" customHeight="1" x14ac:dyDescent="0.25">
      <c r="A23" s="686" t="s">
        <v>102</v>
      </c>
      <c r="B23" s="685">
        <v>200</v>
      </c>
      <c r="C23" s="685">
        <v>200</v>
      </c>
      <c r="D23" s="685">
        <v>200</v>
      </c>
      <c r="E23" s="693"/>
      <c r="F23" s="689" t="s">
        <v>103</v>
      </c>
      <c r="G23" s="690">
        <f t="shared" si="0"/>
        <v>2400</v>
      </c>
      <c r="H23" s="690">
        <f t="shared" si="0"/>
        <v>2400</v>
      </c>
      <c r="I23" s="691">
        <f t="shared" si="0"/>
        <v>2400</v>
      </c>
      <c r="J23" s="691">
        <f t="shared" si="0"/>
        <v>0</v>
      </c>
      <c r="K23" s="1206"/>
    </row>
    <row r="24" spans="1:13" ht="32.25" customHeight="1" x14ac:dyDescent="0.25">
      <c r="A24" s="686" t="s">
        <v>104</v>
      </c>
      <c r="B24" s="685">
        <v>15</v>
      </c>
      <c r="C24" s="685">
        <v>15</v>
      </c>
      <c r="D24" s="685">
        <v>15</v>
      </c>
      <c r="E24" s="693"/>
      <c r="G24" s="695"/>
      <c r="H24" s="695"/>
      <c r="I24" s="695"/>
      <c r="J24" s="695"/>
      <c r="K24" s="1206"/>
    </row>
    <row r="25" spans="1:13" ht="32.25" customHeight="1" x14ac:dyDescent="0.25">
      <c r="A25" s="686" t="s">
        <v>105</v>
      </c>
      <c r="B25" s="687">
        <v>8</v>
      </c>
      <c r="C25" s="687">
        <v>4</v>
      </c>
      <c r="D25" s="687">
        <v>2</v>
      </c>
      <c r="E25" s="688"/>
      <c r="F25" s="689" t="s">
        <v>106</v>
      </c>
      <c r="G25" s="690">
        <f>(B24*B25)*12</f>
        <v>1440</v>
      </c>
      <c r="H25" s="690">
        <f>(C24*C25)*12</f>
        <v>720</v>
      </c>
      <c r="I25" s="691">
        <f>(D24*D25)*12</f>
        <v>360</v>
      </c>
      <c r="J25" s="691">
        <f>(E24*E25)*12</f>
        <v>0</v>
      </c>
      <c r="K25" s="1206"/>
    </row>
    <row r="26" spans="1:13" ht="32.25" customHeight="1" x14ac:dyDescent="0.25">
      <c r="A26" s="686" t="s">
        <v>107</v>
      </c>
      <c r="B26" s="685">
        <v>250</v>
      </c>
      <c r="C26" s="685">
        <v>250</v>
      </c>
      <c r="D26" s="685">
        <v>250</v>
      </c>
      <c r="E26" s="693"/>
      <c r="F26" s="689" t="s">
        <v>108</v>
      </c>
      <c r="G26" s="690">
        <f>B26*12</f>
        <v>3000</v>
      </c>
      <c r="H26" s="690">
        <f t="shared" ref="H26:J28" si="1">C26*12</f>
        <v>3000</v>
      </c>
      <c r="I26" s="691">
        <f t="shared" si="1"/>
        <v>3000</v>
      </c>
      <c r="J26" s="691">
        <f t="shared" si="1"/>
        <v>0</v>
      </c>
      <c r="K26" s="1206"/>
    </row>
    <row r="27" spans="1:13" ht="32.25" customHeight="1" x14ac:dyDescent="0.25">
      <c r="A27" s="686" t="s">
        <v>109</v>
      </c>
      <c r="B27" s="685">
        <v>150</v>
      </c>
      <c r="C27" s="685">
        <v>150</v>
      </c>
      <c r="D27" s="685">
        <v>150</v>
      </c>
      <c r="E27" s="693"/>
      <c r="F27" s="689" t="s">
        <v>110</v>
      </c>
      <c r="G27" s="690">
        <f>B27*12</f>
        <v>1800</v>
      </c>
      <c r="H27" s="690">
        <f t="shared" si="1"/>
        <v>1800</v>
      </c>
      <c r="I27" s="691">
        <f t="shared" si="1"/>
        <v>1800</v>
      </c>
      <c r="J27" s="691">
        <f t="shared" si="1"/>
        <v>0</v>
      </c>
      <c r="K27" s="1206"/>
    </row>
    <row r="28" spans="1:13" ht="32.25" customHeight="1" x14ac:dyDescent="0.25">
      <c r="A28" s="686" t="s">
        <v>111</v>
      </c>
      <c r="B28" s="685">
        <v>200</v>
      </c>
      <c r="C28" s="685">
        <v>100</v>
      </c>
      <c r="D28" s="685">
        <v>30</v>
      </c>
      <c r="E28" s="693"/>
      <c r="F28" s="689" t="s">
        <v>112</v>
      </c>
      <c r="G28" s="690">
        <f>B28*12</f>
        <v>2400</v>
      </c>
      <c r="H28" s="690">
        <f t="shared" si="1"/>
        <v>1200</v>
      </c>
      <c r="I28" s="691">
        <f t="shared" si="1"/>
        <v>360</v>
      </c>
      <c r="J28" s="691">
        <f t="shared" si="1"/>
        <v>0</v>
      </c>
      <c r="K28" s="1206"/>
    </row>
    <row r="29" spans="1:13" ht="32.25" customHeight="1" x14ac:dyDescent="0.25">
      <c r="A29" s="686" t="s">
        <v>545</v>
      </c>
      <c r="B29" s="696">
        <v>0.02</v>
      </c>
      <c r="C29" s="696">
        <v>0.02</v>
      </c>
      <c r="D29" s="696">
        <v>0.02</v>
      </c>
      <c r="E29" s="693"/>
      <c r="F29" s="697" t="s">
        <v>113</v>
      </c>
      <c r="G29" s="690">
        <f>B14*B29</f>
        <v>30371.16</v>
      </c>
      <c r="H29" s="690">
        <f>C14*C29</f>
        <v>16214.18</v>
      </c>
      <c r="I29" s="691">
        <f>D14*D29</f>
        <v>5654.06</v>
      </c>
      <c r="J29" s="691"/>
      <c r="K29" s="1206"/>
    </row>
    <row r="30" spans="1:13" ht="32.25" customHeight="1" x14ac:dyDescent="0.25">
      <c r="A30" s="686" t="s">
        <v>114</v>
      </c>
      <c r="B30" s="693"/>
      <c r="C30" s="693"/>
      <c r="D30" s="693"/>
      <c r="E30" s="698">
        <f>E14*Übersicht!C48</f>
        <v>2550</v>
      </c>
      <c r="F30" s="689" t="s">
        <v>114</v>
      </c>
      <c r="G30" s="690"/>
      <c r="H30" s="690"/>
      <c r="I30" s="691"/>
      <c r="J30" s="691">
        <f>E30</f>
        <v>2550</v>
      </c>
      <c r="K30" s="1206"/>
    </row>
    <row r="31" spans="1:13" ht="32.25" customHeight="1" x14ac:dyDescent="0.25">
      <c r="A31" s="359" t="s">
        <v>115</v>
      </c>
      <c r="B31" s="693"/>
      <c r="C31" s="693"/>
      <c r="D31" s="693"/>
      <c r="E31" s="699">
        <v>0.02</v>
      </c>
      <c r="F31" s="700" t="s">
        <v>116</v>
      </c>
      <c r="G31" s="690"/>
      <c r="H31" s="690"/>
      <c r="I31" s="691"/>
      <c r="J31" s="691">
        <f>E31*E32</f>
        <v>600</v>
      </c>
      <c r="K31" s="1206"/>
    </row>
    <row r="32" spans="1:13" ht="32.25" customHeight="1" x14ac:dyDescent="0.25">
      <c r="A32" s="686" t="s">
        <v>117</v>
      </c>
      <c r="B32" s="693"/>
      <c r="C32" s="693"/>
      <c r="D32" s="693"/>
      <c r="E32" s="685">
        <v>30000</v>
      </c>
      <c r="F32" s="689"/>
      <c r="G32" s="690"/>
      <c r="H32" s="690"/>
      <c r="I32" s="691"/>
      <c r="J32" s="691"/>
      <c r="K32" s="1206"/>
    </row>
    <row r="33" spans="1:11" ht="9.9499999999999993" customHeight="1" thickBot="1" x14ac:dyDescent="0.3">
      <c r="A33" s="736"/>
      <c r="B33" s="701"/>
      <c r="C33" s="701"/>
      <c r="D33" s="701"/>
      <c r="E33" s="702"/>
      <c r="F33" s="702"/>
      <c r="G33" s="703"/>
      <c r="H33" s="703"/>
      <c r="I33" s="703"/>
      <c r="J33" s="703"/>
      <c r="K33" s="737"/>
    </row>
    <row r="34" spans="1:11" ht="32.25" customHeight="1" thickBot="1" x14ac:dyDescent="0.3">
      <c r="A34" s="652"/>
      <c r="B34" s="652"/>
      <c r="C34" s="652"/>
      <c r="D34" s="652"/>
      <c r="E34" s="1210" t="s">
        <v>118</v>
      </c>
      <c r="F34" s="1211"/>
      <c r="G34" s="704">
        <f>SUM(G16:G32)</f>
        <v>555191.16</v>
      </c>
      <c r="H34" s="704">
        <f>SUM(H16:H32)</f>
        <v>303734.18</v>
      </c>
      <c r="I34" s="704">
        <f>SUM(I16:I32)</f>
        <v>94014.06</v>
      </c>
      <c r="J34" s="705">
        <f>SUM(J16:J32)</f>
        <v>3150</v>
      </c>
    </row>
    <row r="35" spans="1:11" ht="49.9" customHeight="1" thickTop="1" thickBot="1" x14ac:dyDescent="0.3">
      <c r="A35" s="652"/>
      <c r="B35" s="652"/>
      <c r="C35" s="652"/>
      <c r="D35" s="652"/>
      <c r="E35" s="1212" t="s">
        <v>505</v>
      </c>
      <c r="F35" s="1213"/>
      <c r="G35" s="704">
        <f>G34/B10</f>
        <v>69398.895000000004</v>
      </c>
      <c r="H35" s="704">
        <f>H34/C10</f>
        <v>75933.544999999998</v>
      </c>
      <c r="I35" s="704">
        <f>I34/D10</f>
        <v>47007.03</v>
      </c>
      <c r="J35" s="705">
        <f>J34</f>
        <v>3150</v>
      </c>
    </row>
    <row r="36" spans="1:11" ht="32.25" customHeight="1" thickTop="1" thickBot="1" x14ac:dyDescent="0.3">
      <c r="A36" s="652"/>
      <c r="B36" s="652"/>
      <c r="C36" s="652"/>
      <c r="D36" s="652"/>
      <c r="E36" s="1212" t="s">
        <v>690</v>
      </c>
      <c r="F36" s="1213"/>
      <c r="G36" s="1214">
        <f>G34*B13+H34*C13+I34*D13</f>
        <v>9976549.6600000001</v>
      </c>
      <c r="H36" s="1215"/>
      <c r="I36" s="1213"/>
      <c r="J36" s="707">
        <f>J35*E13</f>
        <v>4041450</v>
      </c>
    </row>
    <row r="37" spans="1:11" s="666" customFormat="1" ht="12" customHeight="1" thickTop="1" x14ac:dyDescent="0.25">
      <c r="A37" s="652"/>
      <c r="B37" s="652"/>
      <c r="C37" s="652"/>
      <c r="D37" s="652"/>
      <c r="F37" s="680"/>
      <c r="G37" s="708"/>
      <c r="H37" s="708"/>
      <c r="I37" s="708"/>
      <c r="J37" s="708"/>
      <c r="K37" s="653"/>
    </row>
    <row r="38" spans="1:11" ht="9.9499999999999993" customHeight="1" x14ac:dyDescent="0.25">
      <c r="A38" s="736"/>
      <c r="B38" s="701"/>
      <c r="C38" s="701"/>
      <c r="D38" s="701"/>
      <c r="E38" s="701"/>
      <c r="F38" s="701"/>
      <c r="G38" s="703"/>
      <c r="H38" s="703"/>
      <c r="I38" s="703"/>
      <c r="J38" s="703"/>
      <c r="K38" s="737"/>
    </row>
    <row r="39" spans="1:11" ht="32.25" customHeight="1" outlineLevel="1" x14ac:dyDescent="0.25">
      <c r="D39" s="709"/>
      <c r="F39" s="710" t="s">
        <v>119</v>
      </c>
      <c r="G39" s="710" t="s">
        <v>120</v>
      </c>
      <c r="H39" s="710" t="s">
        <v>121</v>
      </c>
      <c r="I39" s="710" t="s">
        <v>122</v>
      </c>
      <c r="J39" s="710" t="s">
        <v>746</v>
      </c>
      <c r="K39" s="1206" t="s">
        <v>123</v>
      </c>
    </row>
    <row r="40" spans="1:11" ht="30" customHeight="1" outlineLevel="1" x14ac:dyDescent="0.25">
      <c r="D40" s="1208" t="s">
        <v>124</v>
      </c>
      <c r="E40" s="1209"/>
      <c r="F40" s="711">
        <f>SUM(B13*B10+C13*C10+D13*D10)</f>
        <v>148</v>
      </c>
      <c r="G40" s="669"/>
      <c r="H40" s="712"/>
      <c r="I40" s="713"/>
      <c r="J40" s="712"/>
      <c r="K40" s="1206"/>
    </row>
    <row r="41" spans="1:11" s="718" customFormat="1" ht="30" customHeight="1" outlineLevel="1" x14ac:dyDescent="0.25">
      <c r="A41" s="654"/>
      <c r="B41" s="654"/>
      <c r="C41" s="738" t="s">
        <v>747</v>
      </c>
      <c r="D41" s="1216" t="s">
        <v>125</v>
      </c>
      <c r="E41" s="1217"/>
      <c r="F41" s="714"/>
      <c r="G41" s="685">
        <v>5000</v>
      </c>
      <c r="H41" s="715">
        <f>F40*G41</f>
        <v>740000</v>
      </c>
      <c r="I41" s="716">
        <v>5</v>
      </c>
      <c r="J41" s="717">
        <f>H41/I41</f>
        <v>148000</v>
      </c>
      <c r="K41" s="1206"/>
    </row>
    <row r="42" spans="1:11" ht="30" customHeight="1" outlineLevel="1" x14ac:dyDescent="0.25">
      <c r="D42" s="1208" t="s">
        <v>126</v>
      </c>
      <c r="E42" s="1209"/>
      <c r="F42" s="719"/>
      <c r="G42" s="685">
        <v>5000</v>
      </c>
      <c r="H42" s="715">
        <f>F40*G42</f>
        <v>740000</v>
      </c>
      <c r="I42" s="716">
        <v>5</v>
      </c>
      <c r="J42" s="715">
        <f>H42/I42</f>
        <v>148000</v>
      </c>
      <c r="K42" s="1206"/>
    </row>
    <row r="43" spans="1:11" ht="30" customHeight="1" outlineLevel="1" x14ac:dyDescent="0.25">
      <c r="D43" s="1208" t="s">
        <v>127</v>
      </c>
      <c r="E43" s="1209"/>
      <c r="F43" s="711">
        <f>'Anzahl Kundencenter-VK-Plätze'!D68+'Anzahl Kundencenter-VK-Plätze'!C68+'Anzahl Kundencenter-VK-Plätze'!B68</f>
        <v>45</v>
      </c>
      <c r="G43" s="712"/>
      <c r="H43" s="715"/>
      <c r="I43" s="713"/>
      <c r="J43" s="715"/>
      <c r="K43" s="1206"/>
    </row>
    <row r="44" spans="1:11" ht="30" customHeight="1" outlineLevel="1" x14ac:dyDescent="0.25">
      <c r="D44" s="1208" t="s">
        <v>128</v>
      </c>
      <c r="E44" s="1209"/>
      <c r="F44" s="720"/>
      <c r="G44" s="685">
        <v>25000</v>
      </c>
      <c r="H44" s="715">
        <f>F43*G44</f>
        <v>1125000</v>
      </c>
      <c r="I44" s="716">
        <v>10</v>
      </c>
      <c r="J44" s="715">
        <f>H44/I44</f>
        <v>112500</v>
      </c>
      <c r="K44" s="1206"/>
    </row>
    <row r="45" spans="1:11" ht="30" customHeight="1" outlineLevel="1" thickBot="1" x14ac:dyDescent="0.3">
      <c r="D45" s="1208" t="s">
        <v>129</v>
      </c>
      <c r="E45" s="1209"/>
      <c r="F45" s="719"/>
      <c r="G45" s="685">
        <v>5000</v>
      </c>
      <c r="H45" s="715">
        <f>F43*G45</f>
        <v>225000</v>
      </c>
      <c r="I45" s="716">
        <v>10</v>
      </c>
      <c r="J45" s="715">
        <f>H45/I45</f>
        <v>22500</v>
      </c>
      <c r="K45" s="1207"/>
    </row>
    <row r="46" spans="1:11" s="662" customFormat="1" ht="30" customHeight="1" outlineLevel="1" thickBot="1" x14ac:dyDescent="0.3">
      <c r="D46" s="721"/>
      <c r="E46" s="721"/>
      <c r="F46" s="722"/>
      <c r="G46" s="722"/>
      <c r="H46" s="723"/>
      <c r="I46" s="724"/>
      <c r="J46" s="725">
        <f>J41+J42+J44+J45</f>
        <v>431000</v>
      </c>
      <c r="K46" s="726"/>
    </row>
    <row r="47" spans="1:11" ht="21" thickTop="1" x14ac:dyDescent="0.25">
      <c r="A47" s="709"/>
      <c r="E47" s="709"/>
      <c r="F47" s="654"/>
      <c r="G47" s="727"/>
      <c r="H47" s="728"/>
      <c r="I47" s="727"/>
      <c r="J47" s="727"/>
      <c r="K47" s="727"/>
    </row>
    <row r="48" spans="1:11" ht="31.5" x14ac:dyDescent="0.25">
      <c r="A48" s="662"/>
      <c r="B48" s="662"/>
      <c r="C48" s="662"/>
      <c r="D48" s="662"/>
      <c r="E48" s="1218" t="s">
        <v>689</v>
      </c>
      <c r="F48" s="729" t="s">
        <v>685</v>
      </c>
      <c r="G48" s="1221">
        <f>$G$36+J46</f>
        <v>10407549.66</v>
      </c>
      <c r="H48" s="1222"/>
      <c r="I48" s="1222"/>
      <c r="J48" s="730"/>
      <c r="K48" s="727"/>
    </row>
    <row r="49" spans="1:11" ht="31.5" x14ac:dyDescent="0.25">
      <c r="A49" s="662"/>
      <c r="B49" s="662"/>
      <c r="C49" s="662"/>
      <c r="D49" s="662"/>
      <c r="E49" s="1219"/>
      <c r="F49" s="731" t="s">
        <v>463</v>
      </c>
      <c r="G49" s="1223">
        <f>G48/F40</f>
        <v>70321.281486486492</v>
      </c>
      <c r="H49" s="1224"/>
      <c r="I49" s="1224"/>
      <c r="J49" s="732"/>
      <c r="K49" s="654"/>
    </row>
    <row r="50" spans="1:11" ht="31.5" x14ac:dyDescent="0.25">
      <c r="B50" s="692"/>
      <c r="E50" s="1219"/>
      <c r="F50" s="729" t="s">
        <v>485</v>
      </c>
      <c r="G50" s="1223">
        <f>SUM((G16+G19)*B13+(H16+H19)*C13+(I16+I19)*D13)</f>
        <v>8195000</v>
      </c>
      <c r="H50" s="1224"/>
      <c r="I50" s="1224"/>
      <c r="J50" s="732"/>
    </row>
    <row r="51" spans="1:11" x14ac:dyDescent="0.25">
      <c r="E51" s="1219"/>
      <c r="F51" s="729" t="s">
        <v>486</v>
      </c>
      <c r="G51" s="1225">
        <f>G50/(B13*B16+B13*B18+C13*C16+C13*C18+D13*D16+D13*D18)</f>
        <v>36101.321585903082</v>
      </c>
      <c r="H51" s="1226"/>
      <c r="I51" s="1226"/>
      <c r="J51" s="733"/>
    </row>
    <row r="52" spans="1:11" ht="31.5" x14ac:dyDescent="0.25">
      <c r="E52" s="1219"/>
      <c r="F52" s="729" t="s">
        <v>487</v>
      </c>
      <c r="G52" s="1208">
        <f>B13*B16+B13*B18+C13*C16+C13*C18+D13*D16+D13*D18</f>
        <v>227</v>
      </c>
      <c r="H52" s="1227"/>
      <c r="I52" s="1227"/>
      <c r="J52" s="734"/>
    </row>
    <row r="53" spans="1:11" ht="47.25" x14ac:dyDescent="0.25">
      <c r="E53" s="1220"/>
      <c r="F53" s="729" t="s">
        <v>488</v>
      </c>
      <c r="G53" s="1208">
        <f>ROUND(G52/F40,2)</f>
        <v>1.53</v>
      </c>
      <c r="H53" s="1227"/>
      <c r="I53" s="1227"/>
      <c r="J53" s="734"/>
    </row>
  </sheetData>
  <sheetProtection sheet="1" objects="1" scenarios="1"/>
  <mergeCells count="25">
    <mergeCell ref="E48:E53"/>
    <mergeCell ref="G48:I48"/>
    <mergeCell ref="G49:I49"/>
    <mergeCell ref="G50:I50"/>
    <mergeCell ref="G51:I51"/>
    <mergeCell ref="G52:I52"/>
    <mergeCell ref="G53:I53"/>
    <mergeCell ref="K16:K19"/>
    <mergeCell ref="K20:K32"/>
    <mergeCell ref="K39:K45"/>
    <mergeCell ref="D40:E40"/>
    <mergeCell ref="D45:E45"/>
    <mergeCell ref="E34:F34"/>
    <mergeCell ref="E35:F35"/>
    <mergeCell ref="E36:F36"/>
    <mergeCell ref="G36:I36"/>
    <mergeCell ref="D41:E41"/>
    <mergeCell ref="D42:E42"/>
    <mergeCell ref="D43:E43"/>
    <mergeCell ref="D44:E44"/>
    <mergeCell ref="G14:G15"/>
    <mergeCell ref="H14:H15"/>
    <mergeCell ref="I14:I15"/>
    <mergeCell ref="J14:J15"/>
    <mergeCell ref="G12:J13"/>
  </mergeCells>
  <printOptions horizontalCentered="1" verticalCentered="1"/>
  <pageMargins left="0.70866141732283472" right="0.70866141732283472" top="0.98425196850393704" bottom="0.78740157480314965" header="0.31496062992125984" footer="0.31496062992125984"/>
  <pageSetup paperSize="8" scale="50"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5"/>
  <sheetViews>
    <sheetView tabSelected="1" workbookViewId="0">
      <selection activeCell="F9" sqref="F9"/>
    </sheetView>
  </sheetViews>
  <sheetFormatPr baseColWidth="10" defaultRowHeight="14.25" x14ac:dyDescent="0.25"/>
  <cols>
    <col min="1" max="2" width="11.42578125" style="874"/>
    <col min="3" max="3" width="11.85546875" style="874" bestFit="1" customWidth="1"/>
    <col min="4" max="4" width="31.7109375" style="869" bestFit="1" customWidth="1"/>
    <col min="5" max="5" width="26.28515625" style="869" customWidth="1"/>
    <col min="6" max="6" width="50.7109375" style="869" customWidth="1"/>
    <col min="7" max="16384" width="11.42578125" style="869"/>
  </cols>
  <sheetData>
    <row r="1" spans="1:6" ht="20.25" x14ac:dyDescent="0.25">
      <c r="A1" s="880" t="s">
        <v>760</v>
      </c>
      <c r="B1" s="879"/>
      <c r="C1" s="879"/>
    </row>
    <row r="3" spans="1:6" s="870" customFormat="1" ht="15" x14ac:dyDescent="0.25">
      <c r="A3" s="871"/>
      <c r="B3" s="871"/>
      <c r="C3" s="871"/>
      <c r="D3" s="869"/>
    </row>
    <row r="4" spans="1:6" s="870" customFormat="1" ht="15" x14ac:dyDescent="0.25">
      <c r="A4" s="871" t="s">
        <v>761</v>
      </c>
      <c r="B4" s="871" t="s">
        <v>764</v>
      </c>
      <c r="C4" s="871" t="s">
        <v>765</v>
      </c>
      <c r="D4" s="871" t="s">
        <v>756</v>
      </c>
      <c r="E4" s="871" t="s">
        <v>758</v>
      </c>
      <c r="F4" s="871" t="s">
        <v>766</v>
      </c>
    </row>
    <row r="5" spans="1:6" ht="28.5" x14ac:dyDescent="0.25">
      <c r="A5" s="874" t="s">
        <v>762</v>
      </c>
      <c r="B5" s="881" t="s">
        <v>763</v>
      </c>
      <c r="C5" s="874" t="s">
        <v>754</v>
      </c>
      <c r="D5" s="869" t="s">
        <v>776</v>
      </c>
      <c r="E5" s="872"/>
      <c r="F5" s="873" t="s">
        <v>777</v>
      </c>
    </row>
    <row r="6" spans="1:6" ht="42.75" x14ac:dyDescent="0.25">
      <c r="A6" s="874" t="s">
        <v>762</v>
      </c>
      <c r="B6" s="881" t="s">
        <v>763</v>
      </c>
      <c r="C6" s="874" t="s">
        <v>754</v>
      </c>
      <c r="D6" s="869" t="s">
        <v>755</v>
      </c>
      <c r="E6" s="872" t="s">
        <v>757</v>
      </c>
      <c r="F6" s="872" t="s">
        <v>759</v>
      </c>
    </row>
    <row r="7" spans="1:6" ht="71.25" x14ac:dyDescent="0.25">
      <c r="A7" s="874" t="s">
        <v>762</v>
      </c>
      <c r="B7" s="881" t="s">
        <v>767</v>
      </c>
      <c r="C7" s="874" t="s">
        <v>768</v>
      </c>
      <c r="D7" s="869" t="s">
        <v>769</v>
      </c>
      <c r="E7" s="872" t="s">
        <v>770</v>
      </c>
      <c r="F7" s="872" t="s">
        <v>771</v>
      </c>
    </row>
    <row r="8" spans="1:6" ht="28.5" x14ac:dyDescent="0.25">
      <c r="A8" s="874" t="s">
        <v>762</v>
      </c>
      <c r="B8" s="881">
        <v>41743</v>
      </c>
      <c r="C8" s="874" t="s">
        <v>754</v>
      </c>
      <c r="D8" s="869" t="s">
        <v>774</v>
      </c>
      <c r="E8" s="872"/>
      <c r="F8" s="872" t="s">
        <v>775</v>
      </c>
    </row>
    <row r="9" spans="1:6" x14ac:dyDescent="0.25">
      <c r="B9" s="881"/>
      <c r="E9" s="872"/>
      <c r="F9" s="872"/>
    </row>
    <row r="10" spans="1:6" x14ac:dyDescent="0.25">
      <c r="B10" s="881"/>
      <c r="E10" s="872"/>
      <c r="F10" s="872"/>
    </row>
    <row r="11" spans="1:6" x14ac:dyDescent="0.25">
      <c r="B11" s="881"/>
      <c r="E11" s="872"/>
      <c r="F11" s="872"/>
    </row>
    <row r="12" spans="1:6" x14ac:dyDescent="0.25">
      <c r="B12" s="881"/>
      <c r="E12" s="872"/>
      <c r="F12" s="872"/>
    </row>
    <row r="13" spans="1:6" x14ac:dyDescent="0.25">
      <c r="B13" s="881"/>
      <c r="E13" s="872"/>
      <c r="F13" s="872"/>
    </row>
    <row r="14" spans="1:6" x14ac:dyDescent="0.25">
      <c r="B14" s="881"/>
      <c r="E14" s="872"/>
      <c r="F14" s="872"/>
    </row>
    <row r="15" spans="1:6" x14ac:dyDescent="0.25">
      <c r="B15" s="881"/>
      <c r="E15" s="872"/>
      <c r="F15" s="872"/>
    </row>
    <row r="16" spans="1:6" x14ac:dyDescent="0.25">
      <c r="B16" s="881"/>
      <c r="E16" s="872"/>
      <c r="F16" s="872"/>
    </row>
    <row r="17" spans="2:6" x14ac:dyDescent="0.25">
      <c r="B17" s="881"/>
      <c r="E17" s="872"/>
      <c r="F17" s="872"/>
    </row>
    <row r="18" spans="2:6" x14ac:dyDescent="0.25">
      <c r="B18" s="881"/>
      <c r="E18" s="872"/>
      <c r="F18" s="872"/>
    </row>
    <row r="19" spans="2:6" x14ac:dyDescent="0.25">
      <c r="B19" s="881"/>
      <c r="E19" s="872"/>
      <c r="F19" s="872"/>
    </row>
    <row r="20" spans="2:6" x14ac:dyDescent="0.25">
      <c r="B20" s="881"/>
      <c r="E20" s="872"/>
      <c r="F20" s="872"/>
    </row>
    <row r="21" spans="2:6" x14ac:dyDescent="0.25">
      <c r="B21" s="881"/>
      <c r="E21" s="872"/>
      <c r="F21" s="872"/>
    </row>
    <row r="22" spans="2:6" x14ac:dyDescent="0.25">
      <c r="B22" s="881"/>
      <c r="E22" s="872"/>
      <c r="F22" s="872"/>
    </row>
    <row r="23" spans="2:6" x14ac:dyDescent="0.25">
      <c r="B23" s="881"/>
      <c r="E23" s="872"/>
      <c r="F23" s="872"/>
    </row>
    <row r="24" spans="2:6" x14ac:dyDescent="0.25">
      <c r="B24" s="881"/>
      <c r="E24" s="872"/>
      <c r="F24" s="872"/>
    </row>
    <row r="25" spans="2:6" x14ac:dyDescent="0.25">
      <c r="B25" s="881"/>
      <c r="E25" s="872"/>
      <c r="F25" s="872"/>
    </row>
    <row r="26" spans="2:6" x14ac:dyDescent="0.25">
      <c r="B26" s="881"/>
      <c r="E26" s="872"/>
      <c r="F26" s="872"/>
    </row>
    <row r="27" spans="2:6" x14ac:dyDescent="0.25">
      <c r="B27" s="881"/>
    </row>
    <row r="28" spans="2:6" x14ac:dyDescent="0.25">
      <c r="B28" s="881"/>
    </row>
    <row r="29" spans="2:6" x14ac:dyDescent="0.25">
      <c r="B29" s="881"/>
    </row>
    <row r="30" spans="2:6" x14ac:dyDescent="0.25">
      <c r="B30" s="881"/>
    </row>
    <row r="31" spans="2:6" x14ac:dyDescent="0.25">
      <c r="B31" s="881"/>
    </row>
    <row r="32" spans="2:6" x14ac:dyDescent="0.25">
      <c r="B32" s="881"/>
    </row>
    <row r="33" spans="2:2" x14ac:dyDescent="0.25">
      <c r="B33" s="881"/>
    </row>
    <row r="34" spans="2:2" x14ac:dyDescent="0.25">
      <c r="B34" s="881"/>
    </row>
    <row r="35" spans="2:2" x14ac:dyDescent="0.25">
      <c r="B35" s="881"/>
    </row>
    <row r="36" spans="2:2" x14ac:dyDescent="0.25">
      <c r="B36" s="881"/>
    </row>
    <row r="37" spans="2:2" x14ac:dyDescent="0.25">
      <c r="B37" s="881"/>
    </row>
    <row r="38" spans="2:2" x14ac:dyDescent="0.25">
      <c r="B38" s="881"/>
    </row>
    <row r="39" spans="2:2" x14ac:dyDescent="0.25">
      <c r="B39" s="881"/>
    </row>
    <row r="40" spans="2:2" x14ac:dyDescent="0.25">
      <c r="B40" s="881"/>
    </row>
    <row r="41" spans="2:2" x14ac:dyDescent="0.25">
      <c r="B41" s="881"/>
    </row>
    <row r="42" spans="2:2" x14ac:dyDescent="0.25">
      <c r="B42" s="881"/>
    </row>
    <row r="43" spans="2:2" x14ac:dyDescent="0.25">
      <c r="B43" s="881"/>
    </row>
    <row r="44" spans="2:2" x14ac:dyDescent="0.25">
      <c r="B44" s="881"/>
    </row>
    <row r="45" spans="2:2" x14ac:dyDescent="0.25">
      <c r="B45" s="881"/>
    </row>
    <row r="46" spans="2:2" x14ac:dyDescent="0.25">
      <c r="B46" s="881"/>
    </row>
    <row r="47" spans="2:2" x14ac:dyDescent="0.25">
      <c r="B47" s="881"/>
    </row>
    <row r="48" spans="2:2" x14ac:dyDescent="0.25">
      <c r="B48" s="881"/>
    </row>
    <row r="49" spans="2:2" x14ac:dyDescent="0.25">
      <c r="B49" s="881"/>
    </row>
    <row r="50" spans="2:2" x14ac:dyDescent="0.25">
      <c r="B50" s="881"/>
    </row>
    <row r="51" spans="2:2" x14ac:dyDescent="0.25">
      <c r="B51" s="881"/>
    </row>
    <row r="52" spans="2:2" x14ac:dyDescent="0.25">
      <c r="B52" s="881"/>
    </row>
    <row r="53" spans="2:2" x14ac:dyDescent="0.25">
      <c r="B53" s="881"/>
    </row>
    <row r="54" spans="2:2" x14ac:dyDescent="0.25">
      <c r="B54" s="881"/>
    </row>
    <row r="55" spans="2:2" x14ac:dyDescent="0.25">
      <c r="B55" s="881"/>
    </row>
    <row r="56" spans="2:2" x14ac:dyDescent="0.25">
      <c r="B56" s="881"/>
    </row>
    <row r="57" spans="2:2" x14ac:dyDescent="0.25">
      <c r="B57" s="881"/>
    </row>
    <row r="58" spans="2:2" x14ac:dyDescent="0.25">
      <c r="B58" s="881"/>
    </row>
    <row r="59" spans="2:2" x14ac:dyDescent="0.25">
      <c r="B59" s="881"/>
    </row>
    <row r="60" spans="2:2" x14ac:dyDescent="0.25">
      <c r="B60" s="881"/>
    </row>
    <row r="61" spans="2:2" x14ac:dyDescent="0.25">
      <c r="B61" s="881"/>
    </row>
    <row r="62" spans="2:2" x14ac:dyDescent="0.25">
      <c r="B62" s="881"/>
    </row>
    <row r="63" spans="2:2" x14ac:dyDescent="0.25">
      <c r="B63" s="881"/>
    </row>
    <row r="64" spans="2:2" x14ac:dyDescent="0.25">
      <c r="B64" s="881"/>
    </row>
    <row r="65" spans="2:2" x14ac:dyDescent="0.25">
      <c r="B65" s="881"/>
    </row>
    <row r="66" spans="2:2" x14ac:dyDescent="0.25">
      <c r="B66" s="881"/>
    </row>
    <row r="67" spans="2:2" x14ac:dyDescent="0.25">
      <c r="B67" s="881"/>
    </row>
    <row r="68" spans="2:2" x14ac:dyDescent="0.25">
      <c r="B68" s="881"/>
    </row>
    <row r="69" spans="2:2" x14ac:dyDescent="0.25">
      <c r="B69" s="881"/>
    </row>
    <row r="70" spans="2:2" x14ac:dyDescent="0.25">
      <c r="B70" s="881"/>
    </row>
    <row r="71" spans="2:2" x14ac:dyDescent="0.25">
      <c r="B71" s="881"/>
    </row>
    <row r="72" spans="2:2" x14ac:dyDescent="0.25">
      <c r="B72" s="881"/>
    </row>
    <row r="73" spans="2:2" x14ac:dyDescent="0.25">
      <c r="B73" s="881"/>
    </row>
    <row r="74" spans="2:2" x14ac:dyDescent="0.25">
      <c r="B74" s="881"/>
    </row>
    <row r="75" spans="2:2" x14ac:dyDescent="0.25">
      <c r="B75" s="881"/>
    </row>
    <row r="76" spans="2:2" x14ac:dyDescent="0.25">
      <c r="B76" s="881"/>
    </row>
    <row r="77" spans="2:2" x14ac:dyDescent="0.25">
      <c r="B77" s="881"/>
    </row>
    <row r="78" spans="2:2" x14ac:dyDescent="0.25">
      <c r="B78" s="881"/>
    </row>
    <row r="79" spans="2:2" x14ac:dyDescent="0.25">
      <c r="B79" s="881"/>
    </row>
    <row r="80" spans="2:2" x14ac:dyDescent="0.25">
      <c r="B80" s="881"/>
    </row>
    <row r="81" spans="2:2" x14ac:dyDescent="0.25">
      <c r="B81" s="881"/>
    </row>
    <row r="82" spans="2:2" x14ac:dyDescent="0.25">
      <c r="B82" s="881"/>
    </row>
    <row r="83" spans="2:2" x14ac:dyDescent="0.25">
      <c r="B83" s="881"/>
    </row>
    <row r="84" spans="2:2" x14ac:dyDescent="0.25">
      <c r="B84" s="881"/>
    </row>
    <row r="85" spans="2:2" x14ac:dyDescent="0.25">
      <c r="B85" s="881"/>
    </row>
    <row r="86" spans="2:2" x14ac:dyDescent="0.25">
      <c r="B86" s="881"/>
    </row>
    <row r="87" spans="2:2" x14ac:dyDescent="0.25">
      <c r="B87" s="881"/>
    </row>
    <row r="88" spans="2:2" x14ac:dyDescent="0.25">
      <c r="B88" s="881"/>
    </row>
    <row r="89" spans="2:2" x14ac:dyDescent="0.25">
      <c r="B89" s="881"/>
    </row>
    <row r="90" spans="2:2" x14ac:dyDescent="0.25">
      <c r="B90" s="881"/>
    </row>
    <row r="91" spans="2:2" x14ac:dyDescent="0.25">
      <c r="B91" s="881"/>
    </row>
    <row r="92" spans="2:2" x14ac:dyDescent="0.25">
      <c r="B92" s="881"/>
    </row>
    <row r="93" spans="2:2" x14ac:dyDescent="0.25">
      <c r="B93" s="881"/>
    </row>
    <row r="94" spans="2:2" x14ac:dyDescent="0.25">
      <c r="B94" s="881"/>
    </row>
    <row r="95" spans="2:2" x14ac:dyDescent="0.25">
      <c r="B95" s="881"/>
    </row>
    <row r="96" spans="2:2" x14ac:dyDescent="0.25">
      <c r="B96" s="881"/>
    </row>
    <row r="97" spans="2:2" x14ac:dyDescent="0.25">
      <c r="B97" s="881"/>
    </row>
    <row r="98" spans="2:2" x14ac:dyDescent="0.25">
      <c r="B98" s="881"/>
    </row>
    <row r="99" spans="2:2" x14ac:dyDescent="0.25">
      <c r="B99" s="881"/>
    </row>
    <row r="100" spans="2:2" x14ac:dyDescent="0.25">
      <c r="B100" s="881"/>
    </row>
    <row r="101" spans="2:2" x14ac:dyDescent="0.25">
      <c r="B101" s="881"/>
    </row>
    <row r="102" spans="2:2" x14ac:dyDescent="0.25">
      <c r="B102" s="881"/>
    </row>
    <row r="103" spans="2:2" x14ac:dyDescent="0.25">
      <c r="B103" s="881"/>
    </row>
    <row r="104" spans="2:2" x14ac:dyDescent="0.25">
      <c r="B104" s="881"/>
    </row>
    <row r="105" spans="2:2" x14ac:dyDescent="0.25">
      <c r="B105" s="881"/>
    </row>
    <row r="106" spans="2:2" x14ac:dyDescent="0.25">
      <c r="B106" s="881"/>
    </row>
    <row r="107" spans="2:2" x14ac:dyDescent="0.25">
      <c r="B107" s="881"/>
    </row>
    <row r="108" spans="2:2" x14ac:dyDescent="0.25">
      <c r="B108" s="881"/>
    </row>
    <row r="109" spans="2:2" x14ac:dyDescent="0.25">
      <c r="B109" s="881"/>
    </row>
    <row r="110" spans="2:2" x14ac:dyDescent="0.25">
      <c r="B110" s="881"/>
    </row>
    <row r="111" spans="2:2" x14ac:dyDescent="0.25">
      <c r="B111" s="881"/>
    </row>
    <row r="112" spans="2:2" x14ac:dyDescent="0.25">
      <c r="B112" s="881"/>
    </row>
    <row r="113" spans="2:2" x14ac:dyDescent="0.25">
      <c r="B113" s="881"/>
    </row>
    <row r="114" spans="2:2" x14ac:dyDescent="0.25">
      <c r="B114" s="881"/>
    </row>
    <row r="115" spans="2:2" x14ac:dyDescent="0.25">
      <c r="B115" s="881"/>
    </row>
    <row r="116" spans="2:2" x14ac:dyDescent="0.25">
      <c r="B116" s="881"/>
    </row>
    <row r="117" spans="2:2" x14ac:dyDescent="0.25">
      <c r="B117" s="881"/>
    </row>
    <row r="118" spans="2:2" x14ac:dyDescent="0.25">
      <c r="B118" s="881"/>
    </row>
    <row r="119" spans="2:2" x14ac:dyDescent="0.25">
      <c r="B119" s="881"/>
    </row>
    <row r="120" spans="2:2" x14ac:dyDescent="0.25">
      <c r="B120" s="881"/>
    </row>
    <row r="121" spans="2:2" x14ac:dyDescent="0.25">
      <c r="B121" s="881"/>
    </row>
    <row r="122" spans="2:2" x14ac:dyDescent="0.25">
      <c r="B122" s="881"/>
    </row>
    <row r="123" spans="2:2" x14ac:dyDescent="0.25">
      <c r="B123" s="881"/>
    </row>
    <row r="124" spans="2:2" x14ac:dyDescent="0.25">
      <c r="B124" s="881"/>
    </row>
    <row r="125" spans="2:2" x14ac:dyDescent="0.25">
      <c r="B125" s="881"/>
    </row>
    <row r="126" spans="2:2" x14ac:dyDescent="0.25">
      <c r="B126" s="881"/>
    </row>
    <row r="127" spans="2:2" x14ac:dyDescent="0.25">
      <c r="B127" s="881"/>
    </row>
    <row r="128" spans="2:2" x14ac:dyDescent="0.25">
      <c r="B128" s="881"/>
    </row>
    <row r="129" spans="2:2" x14ac:dyDescent="0.25">
      <c r="B129" s="881"/>
    </row>
    <row r="130" spans="2:2" x14ac:dyDescent="0.25">
      <c r="B130" s="881"/>
    </row>
    <row r="131" spans="2:2" x14ac:dyDescent="0.25">
      <c r="B131" s="881"/>
    </row>
    <row r="132" spans="2:2" x14ac:dyDescent="0.25">
      <c r="B132" s="881"/>
    </row>
    <row r="133" spans="2:2" x14ac:dyDescent="0.25">
      <c r="B133" s="881"/>
    </row>
    <row r="134" spans="2:2" x14ac:dyDescent="0.25">
      <c r="B134" s="881"/>
    </row>
    <row r="135" spans="2:2" x14ac:dyDescent="0.25">
      <c r="B135" s="881"/>
    </row>
    <row r="136" spans="2:2" x14ac:dyDescent="0.25">
      <c r="B136" s="881"/>
    </row>
    <row r="137" spans="2:2" x14ac:dyDescent="0.25">
      <c r="B137" s="881"/>
    </row>
    <row r="138" spans="2:2" x14ac:dyDescent="0.25">
      <c r="B138" s="881"/>
    </row>
    <row r="139" spans="2:2" x14ac:dyDescent="0.25">
      <c r="B139" s="881"/>
    </row>
    <row r="140" spans="2:2" x14ac:dyDescent="0.25">
      <c r="B140" s="881"/>
    </row>
    <row r="141" spans="2:2" x14ac:dyDescent="0.25">
      <c r="B141" s="881"/>
    </row>
    <row r="142" spans="2:2" x14ac:dyDescent="0.25">
      <c r="B142" s="881"/>
    </row>
    <row r="143" spans="2:2" x14ac:dyDescent="0.25">
      <c r="B143" s="881"/>
    </row>
    <row r="144" spans="2:2" x14ac:dyDescent="0.25">
      <c r="B144" s="881"/>
    </row>
    <row r="145" spans="2:2" x14ac:dyDescent="0.25">
      <c r="B145" s="881"/>
    </row>
    <row r="146" spans="2:2" x14ac:dyDescent="0.25">
      <c r="B146" s="881"/>
    </row>
    <row r="147" spans="2:2" x14ac:dyDescent="0.25">
      <c r="B147" s="881"/>
    </row>
    <row r="148" spans="2:2" x14ac:dyDescent="0.25">
      <c r="B148" s="881"/>
    </row>
    <row r="149" spans="2:2" x14ac:dyDescent="0.25">
      <c r="B149" s="881"/>
    </row>
    <row r="150" spans="2:2" x14ac:dyDescent="0.25">
      <c r="B150" s="881"/>
    </row>
    <row r="151" spans="2:2" x14ac:dyDescent="0.25">
      <c r="B151" s="881"/>
    </row>
    <row r="152" spans="2:2" x14ac:dyDescent="0.25">
      <c r="B152" s="881"/>
    </row>
    <row r="153" spans="2:2" x14ac:dyDescent="0.25">
      <c r="B153" s="881"/>
    </row>
    <row r="154" spans="2:2" x14ac:dyDescent="0.25">
      <c r="B154" s="881"/>
    </row>
    <row r="155" spans="2:2" x14ac:dyDescent="0.25">
      <c r="B155" s="881"/>
    </row>
    <row r="156" spans="2:2" x14ac:dyDescent="0.25">
      <c r="B156" s="881"/>
    </row>
    <row r="157" spans="2:2" x14ac:dyDescent="0.25">
      <c r="B157" s="881"/>
    </row>
    <row r="158" spans="2:2" x14ac:dyDescent="0.25">
      <c r="B158" s="881"/>
    </row>
    <row r="159" spans="2:2" x14ac:dyDescent="0.25">
      <c r="B159" s="881"/>
    </row>
    <row r="160" spans="2:2" x14ac:dyDescent="0.25">
      <c r="B160" s="881"/>
    </row>
    <row r="161" spans="2:2" x14ac:dyDescent="0.25">
      <c r="B161" s="881"/>
    </row>
    <row r="162" spans="2:2" x14ac:dyDescent="0.25">
      <c r="B162" s="881"/>
    </row>
    <row r="163" spans="2:2" x14ac:dyDescent="0.25">
      <c r="B163" s="881"/>
    </row>
    <row r="164" spans="2:2" x14ac:dyDescent="0.25">
      <c r="B164" s="881"/>
    </row>
    <row r="165" spans="2:2" x14ac:dyDescent="0.25">
      <c r="B165" s="881"/>
    </row>
    <row r="166" spans="2:2" x14ac:dyDescent="0.25">
      <c r="B166" s="881"/>
    </row>
    <row r="167" spans="2:2" x14ac:dyDescent="0.25">
      <c r="B167" s="881"/>
    </row>
    <row r="168" spans="2:2" x14ac:dyDescent="0.25">
      <c r="B168" s="881"/>
    </row>
    <row r="169" spans="2:2" x14ac:dyDescent="0.25">
      <c r="B169" s="881"/>
    </row>
    <row r="170" spans="2:2" x14ac:dyDescent="0.25">
      <c r="B170" s="881"/>
    </row>
    <row r="171" spans="2:2" x14ac:dyDescent="0.25">
      <c r="B171" s="881"/>
    </row>
    <row r="172" spans="2:2" x14ac:dyDescent="0.25">
      <c r="B172" s="881"/>
    </row>
    <row r="173" spans="2:2" x14ac:dyDescent="0.25">
      <c r="B173" s="881"/>
    </row>
    <row r="174" spans="2:2" x14ac:dyDescent="0.25">
      <c r="B174" s="881"/>
    </row>
    <row r="175" spans="2:2" x14ac:dyDescent="0.25">
      <c r="B175" s="881"/>
    </row>
  </sheetData>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K280"/>
  <sheetViews>
    <sheetView zoomScaleNormal="100" workbookViewId="0"/>
  </sheetViews>
  <sheetFormatPr baseColWidth="10" defaultRowHeight="15" x14ac:dyDescent="0.25"/>
  <cols>
    <col min="1" max="1" width="20.28515625" style="513" bestFit="1" customWidth="1"/>
    <col min="2" max="2" width="41.140625" style="772" bestFit="1" customWidth="1"/>
    <col min="3" max="3" width="26.7109375" style="772" customWidth="1"/>
    <col min="4" max="4" width="11.42578125" style="513"/>
    <col min="5" max="5" width="23.85546875" style="513" customWidth="1"/>
    <col min="6" max="6" width="80.140625" style="513" customWidth="1"/>
    <col min="7" max="7" width="15.7109375" style="513" bestFit="1" customWidth="1"/>
    <col min="8" max="8" width="14.140625" style="513" bestFit="1" customWidth="1"/>
    <col min="9" max="9" width="14" style="513" bestFit="1" customWidth="1"/>
    <col min="10" max="10" width="31.140625" style="513" bestFit="1" customWidth="1"/>
    <col min="11" max="16384" width="11.42578125" style="513"/>
  </cols>
  <sheetData>
    <row r="1" spans="1:10" x14ac:dyDescent="0.25">
      <c r="A1" s="739" t="s">
        <v>133</v>
      </c>
      <c r="B1" s="740" t="s">
        <v>134</v>
      </c>
      <c r="C1" s="740" t="s">
        <v>135</v>
      </c>
      <c r="D1" s="741" t="s">
        <v>136</v>
      </c>
      <c r="E1" s="741" t="s">
        <v>137</v>
      </c>
      <c r="F1" s="742" t="s">
        <v>138</v>
      </c>
      <c r="G1" s="741" t="s">
        <v>139</v>
      </c>
      <c r="H1" s="868"/>
      <c r="I1" s="868"/>
      <c r="J1" s="868"/>
    </row>
    <row r="2" spans="1:10" ht="30" x14ac:dyDescent="0.25">
      <c r="A2" s="743" t="s">
        <v>140</v>
      </c>
      <c r="B2" s="744" t="s">
        <v>141</v>
      </c>
      <c r="C2" s="744" t="s">
        <v>142</v>
      </c>
      <c r="D2" s="745" t="s">
        <v>143</v>
      </c>
      <c r="E2" s="745"/>
      <c r="F2" s="746" t="s">
        <v>144</v>
      </c>
      <c r="G2" s="745"/>
      <c r="H2" s="747"/>
      <c r="I2" s="868"/>
      <c r="J2" s="868"/>
    </row>
    <row r="3" spans="1:10" ht="30" x14ac:dyDescent="0.25">
      <c r="A3" s="743"/>
      <c r="B3" s="745" t="s">
        <v>145</v>
      </c>
      <c r="C3" s="744" t="s">
        <v>146</v>
      </c>
      <c r="D3" s="745" t="s">
        <v>143</v>
      </c>
      <c r="E3" s="745"/>
      <c r="F3" s="746" t="s">
        <v>144</v>
      </c>
      <c r="G3" s="745"/>
      <c r="H3" s="868"/>
      <c r="I3" s="868"/>
      <c r="J3" s="868"/>
    </row>
    <row r="4" spans="1:10" ht="45" x14ac:dyDescent="0.25">
      <c r="A4" s="743"/>
      <c r="B4" s="745" t="s">
        <v>147</v>
      </c>
      <c r="C4" s="744" t="s">
        <v>148</v>
      </c>
      <c r="D4" s="745" t="s">
        <v>143</v>
      </c>
      <c r="E4" s="745"/>
      <c r="F4" s="746" t="s">
        <v>144</v>
      </c>
      <c r="G4" s="745"/>
      <c r="H4" s="868"/>
      <c r="I4" s="868"/>
      <c r="J4" s="868"/>
    </row>
    <row r="5" spans="1:10" ht="45" x14ac:dyDescent="0.25">
      <c r="A5" s="748" t="s">
        <v>149</v>
      </c>
      <c r="B5" s="749" t="s">
        <v>150</v>
      </c>
      <c r="C5" s="749" t="s">
        <v>151</v>
      </c>
      <c r="D5" s="750"/>
      <c r="E5" s="750">
        <v>2</v>
      </c>
      <c r="F5" s="751" t="s">
        <v>152</v>
      </c>
      <c r="G5" s="750" t="str">
        <f>IF(E5&gt;=8,"A",IF(E5&gt;=4,"B",IF(E5&gt;=2,"C",IF(E5&gt;0,"Zu klein",IF(E5="","")))))</f>
        <v>C</v>
      </c>
      <c r="H5" s="868"/>
      <c r="I5" s="868"/>
      <c r="J5" s="868"/>
    </row>
    <row r="6" spans="1:10" ht="30" x14ac:dyDescent="0.25">
      <c r="A6" s="743" t="s">
        <v>153</v>
      </c>
      <c r="B6" s="744" t="s">
        <v>154</v>
      </c>
      <c r="C6" s="744" t="s">
        <v>155</v>
      </c>
      <c r="D6" s="745">
        <v>110.86</v>
      </c>
      <c r="E6" s="745">
        <v>5</v>
      </c>
      <c r="F6" s="746"/>
      <c r="G6" s="750" t="str">
        <f t="shared" ref="G6:G63" si="0">IF(E6&gt;=8,"A",IF(E6&gt;=4,"B",IF(E6&gt;=2,"C",IF(E6&gt;0,"Zu klein",IF(E6="","")))))</f>
        <v>B</v>
      </c>
      <c r="H6" s="868"/>
      <c r="I6" s="868"/>
      <c r="J6" s="868"/>
    </row>
    <row r="7" spans="1:10" ht="30" x14ac:dyDescent="0.25">
      <c r="A7" s="743"/>
      <c r="B7" s="744" t="s">
        <v>156</v>
      </c>
      <c r="C7" s="744" t="s">
        <v>157</v>
      </c>
      <c r="D7" s="745">
        <v>37.64</v>
      </c>
      <c r="E7" s="745">
        <v>2</v>
      </c>
      <c r="F7" s="746"/>
      <c r="G7" s="750" t="str">
        <f t="shared" si="0"/>
        <v>C</v>
      </c>
      <c r="H7" s="868"/>
      <c r="I7" s="868"/>
      <c r="J7" s="868"/>
    </row>
    <row r="8" spans="1:10" ht="30" x14ac:dyDescent="0.25">
      <c r="A8" s="743"/>
      <c r="B8" s="744" t="s">
        <v>158</v>
      </c>
      <c r="C8" s="744" t="s">
        <v>159</v>
      </c>
      <c r="D8" s="745">
        <v>61.41</v>
      </c>
      <c r="E8" s="745">
        <v>3</v>
      </c>
      <c r="F8" s="746"/>
      <c r="G8" s="750" t="str">
        <f t="shared" si="0"/>
        <v>C</v>
      </c>
      <c r="H8" s="868"/>
      <c r="I8" s="868"/>
      <c r="J8" s="868"/>
    </row>
    <row r="9" spans="1:10" ht="30" x14ac:dyDescent="0.25">
      <c r="A9" s="743"/>
      <c r="B9" s="744" t="s">
        <v>160</v>
      </c>
      <c r="C9" s="744" t="s">
        <v>161</v>
      </c>
      <c r="D9" s="745">
        <v>64</v>
      </c>
      <c r="E9" s="745">
        <v>2</v>
      </c>
      <c r="F9" s="746"/>
      <c r="G9" s="750" t="str">
        <f t="shared" si="0"/>
        <v>C</v>
      </c>
      <c r="H9" s="868"/>
      <c r="I9" s="868"/>
      <c r="J9" s="868"/>
    </row>
    <row r="10" spans="1:10" ht="30" x14ac:dyDescent="0.25">
      <c r="A10" s="743"/>
      <c r="B10" s="744" t="s">
        <v>162</v>
      </c>
      <c r="C10" s="744" t="s">
        <v>163</v>
      </c>
      <c r="D10" s="745">
        <v>35.44</v>
      </c>
      <c r="E10" s="745">
        <v>2</v>
      </c>
      <c r="F10" s="746"/>
      <c r="G10" s="750" t="str">
        <f t="shared" si="0"/>
        <v>C</v>
      </c>
      <c r="H10" s="868"/>
      <c r="I10" s="868"/>
      <c r="J10" s="868"/>
    </row>
    <row r="11" spans="1:10" ht="30" x14ac:dyDescent="0.25">
      <c r="A11" s="743"/>
      <c r="B11" s="744" t="s">
        <v>164</v>
      </c>
      <c r="C11" s="744" t="s">
        <v>165</v>
      </c>
      <c r="D11" s="745">
        <v>34.630000000000003</v>
      </c>
      <c r="E11" s="745">
        <v>2</v>
      </c>
      <c r="F11" s="746"/>
      <c r="G11" s="750" t="str">
        <f t="shared" si="0"/>
        <v>C</v>
      </c>
      <c r="H11" s="868"/>
      <c r="I11" s="868"/>
      <c r="J11" s="868"/>
    </row>
    <row r="12" spans="1:10" ht="59.25" customHeight="1" x14ac:dyDescent="0.25">
      <c r="A12" s="748" t="s">
        <v>166</v>
      </c>
      <c r="B12" s="749" t="s">
        <v>167</v>
      </c>
      <c r="C12" s="749" t="s">
        <v>168</v>
      </c>
      <c r="D12" s="750" t="s">
        <v>143</v>
      </c>
      <c r="E12" s="750"/>
      <c r="F12" s="1228" t="s">
        <v>169</v>
      </c>
      <c r="G12" s="750" t="str">
        <f t="shared" si="0"/>
        <v/>
      </c>
      <c r="H12" s="868"/>
      <c r="I12" s="868"/>
      <c r="J12" s="868"/>
    </row>
    <row r="13" spans="1:10" ht="54.75" customHeight="1" x14ac:dyDescent="0.25">
      <c r="A13" s="748"/>
      <c r="B13" s="749" t="s">
        <v>170</v>
      </c>
      <c r="C13" s="749" t="s">
        <v>171</v>
      </c>
      <c r="D13" s="750" t="s">
        <v>143</v>
      </c>
      <c r="E13" s="750"/>
      <c r="F13" s="1229"/>
      <c r="G13" s="750" t="str">
        <f t="shared" si="0"/>
        <v/>
      </c>
      <c r="H13" s="868"/>
      <c r="I13" s="868"/>
      <c r="J13" s="868"/>
    </row>
    <row r="14" spans="1:10" ht="30" x14ac:dyDescent="0.25">
      <c r="A14" s="748"/>
      <c r="B14" s="749" t="s">
        <v>172</v>
      </c>
      <c r="C14" s="749" t="s">
        <v>173</v>
      </c>
      <c r="D14" s="750" t="s">
        <v>174</v>
      </c>
      <c r="E14" s="750">
        <v>2</v>
      </c>
      <c r="F14" s="751"/>
      <c r="G14" s="750" t="str">
        <f t="shared" si="0"/>
        <v>C</v>
      </c>
      <c r="H14" s="868"/>
      <c r="I14" s="868"/>
      <c r="J14" s="868"/>
    </row>
    <row r="15" spans="1:10" ht="30" x14ac:dyDescent="0.25">
      <c r="A15" s="748"/>
      <c r="B15" s="749" t="s">
        <v>175</v>
      </c>
      <c r="C15" s="749" t="s">
        <v>176</v>
      </c>
      <c r="D15" s="750" t="s">
        <v>177</v>
      </c>
      <c r="E15" s="750">
        <v>1</v>
      </c>
      <c r="F15" s="751"/>
      <c r="G15" s="750" t="str">
        <f t="shared" si="0"/>
        <v>Zu klein</v>
      </c>
      <c r="H15" s="868"/>
      <c r="I15" s="868"/>
      <c r="J15" s="868"/>
    </row>
    <row r="16" spans="1:10" x14ac:dyDescent="0.25">
      <c r="A16" s="743" t="s">
        <v>178</v>
      </c>
      <c r="B16" s="744" t="s">
        <v>179</v>
      </c>
      <c r="C16" s="744" t="s">
        <v>180</v>
      </c>
      <c r="D16" s="745">
        <v>104</v>
      </c>
      <c r="E16" s="745">
        <v>6</v>
      </c>
      <c r="F16" s="745">
        <v>2</v>
      </c>
      <c r="G16" s="750" t="str">
        <f t="shared" si="0"/>
        <v>B</v>
      </c>
      <c r="H16" s="868"/>
      <c r="I16" s="868"/>
      <c r="J16" s="868"/>
    </row>
    <row r="17" spans="1:10" x14ac:dyDescent="0.25">
      <c r="A17" s="743"/>
      <c r="B17" s="744" t="s">
        <v>181</v>
      </c>
      <c r="C17" s="744" t="s">
        <v>182</v>
      </c>
      <c r="D17" s="745">
        <v>54</v>
      </c>
      <c r="E17" s="745">
        <v>3</v>
      </c>
      <c r="F17" s="746"/>
      <c r="G17" s="750" t="str">
        <f t="shared" si="0"/>
        <v>C</v>
      </c>
      <c r="H17" s="868"/>
      <c r="I17" s="868"/>
      <c r="J17" s="868"/>
    </row>
    <row r="18" spans="1:10" ht="30" x14ac:dyDescent="0.25">
      <c r="A18" s="748" t="s">
        <v>183</v>
      </c>
      <c r="B18" s="749" t="s">
        <v>184</v>
      </c>
      <c r="C18" s="749" t="s">
        <v>185</v>
      </c>
      <c r="D18" s="750">
        <v>120</v>
      </c>
      <c r="E18" s="750">
        <v>6</v>
      </c>
      <c r="F18" s="749" t="s">
        <v>186</v>
      </c>
      <c r="G18" s="750" t="str">
        <f t="shared" si="0"/>
        <v>B</v>
      </c>
      <c r="H18" s="868"/>
      <c r="I18" s="868"/>
      <c r="J18" s="868"/>
    </row>
    <row r="19" spans="1:10" ht="45" x14ac:dyDescent="0.25">
      <c r="A19" s="748"/>
      <c r="B19" s="749" t="s">
        <v>187</v>
      </c>
      <c r="C19" s="749" t="s">
        <v>188</v>
      </c>
      <c r="D19" s="750">
        <v>90</v>
      </c>
      <c r="E19" s="750">
        <v>5</v>
      </c>
      <c r="F19" s="749" t="s">
        <v>186</v>
      </c>
      <c r="G19" s="750" t="str">
        <f t="shared" si="0"/>
        <v>B</v>
      </c>
      <c r="H19" s="868"/>
      <c r="I19" s="868"/>
      <c r="J19" s="868"/>
    </row>
    <row r="20" spans="1:10" ht="30" x14ac:dyDescent="0.25">
      <c r="A20" s="748"/>
      <c r="B20" s="749" t="s">
        <v>189</v>
      </c>
      <c r="C20" s="749" t="s">
        <v>190</v>
      </c>
      <c r="D20" s="750">
        <v>40</v>
      </c>
      <c r="E20" s="750">
        <v>2</v>
      </c>
      <c r="F20" s="749" t="s">
        <v>191</v>
      </c>
      <c r="G20" s="750" t="str">
        <f t="shared" si="0"/>
        <v>C</v>
      </c>
      <c r="H20" s="868"/>
      <c r="I20" s="868"/>
      <c r="J20" s="868"/>
    </row>
    <row r="21" spans="1:10" x14ac:dyDescent="0.25">
      <c r="A21" s="743" t="s">
        <v>192</v>
      </c>
      <c r="B21" s="744" t="s">
        <v>193</v>
      </c>
      <c r="C21" s="744" t="s">
        <v>194</v>
      </c>
      <c r="D21" s="745" t="s">
        <v>195</v>
      </c>
      <c r="E21" s="745">
        <v>3</v>
      </c>
      <c r="F21" s="746"/>
      <c r="G21" s="750" t="str">
        <f t="shared" si="0"/>
        <v>C</v>
      </c>
      <c r="H21" s="868"/>
      <c r="I21" s="868"/>
      <c r="J21" s="868"/>
    </row>
    <row r="22" spans="1:10" ht="30" x14ac:dyDescent="0.25">
      <c r="A22" s="743"/>
      <c r="B22" s="744" t="s">
        <v>196</v>
      </c>
      <c r="C22" s="744" t="s">
        <v>197</v>
      </c>
      <c r="D22" s="745" t="s">
        <v>195</v>
      </c>
      <c r="E22" s="745">
        <v>2</v>
      </c>
      <c r="F22" s="746" t="s">
        <v>198</v>
      </c>
      <c r="G22" s="750" t="str">
        <f t="shared" si="0"/>
        <v>C</v>
      </c>
      <c r="H22" s="868"/>
      <c r="I22" s="868"/>
      <c r="J22" s="868"/>
    </row>
    <row r="23" spans="1:10" ht="45" x14ac:dyDescent="0.25">
      <c r="A23" s="748" t="s">
        <v>199</v>
      </c>
      <c r="B23" s="749" t="s">
        <v>200</v>
      </c>
      <c r="C23" s="749" t="s">
        <v>201</v>
      </c>
      <c r="D23" s="750">
        <v>40</v>
      </c>
      <c r="E23" s="750">
        <v>5</v>
      </c>
      <c r="F23" s="749" t="s">
        <v>202</v>
      </c>
      <c r="G23" s="750" t="str">
        <f t="shared" si="0"/>
        <v>B</v>
      </c>
      <c r="H23" s="868"/>
      <c r="I23" s="868"/>
      <c r="J23" s="868"/>
    </row>
    <row r="24" spans="1:10" x14ac:dyDescent="0.25">
      <c r="A24" s="748"/>
      <c r="B24" s="749" t="s">
        <v>200</v>
      </c>
      <c r="C24" s="749" t="s">
        <v>203</v>
      </c>
      <c r="D24" s="750">
        <v>35</v>
      </c>
      <c r="E24" s="750">
        <v>4</v>
      </c>
      <c r="F24" s="749" t="s">
        <v>202</v>
      </c>
      <c r="G24" s="750" t="str">
        <f t="shared" si="0"/>
        <v>B</v>
      </c>
      <c r="H24" s="868"/>
      <c r="I24" s="868"/>
      <c r="J24" s="868"/>
    </row>
    <row r="25" spans="1:10" ht="30" x14ac:dyDescent="0.25">
      <c r="A25" s="743" t="s">
        <v>204</v>
      </c>
      <c r="B25" s="744" t="s">
        <v>205</v>
      </c>
      <c r="C25" s="744" t="s">
        <v>206</v>
      </c>
      <c r="D25" s="745"/>
      <c r="E25" s="752">
        <v>2</v>
      </c>
      <c r="F25" s="746" t="s">
        <v>207</v>
      </c>
      <c r="G25" s="750" t="str">
        <f t="shared" si="0"/>
        <v>C</v>
      </c>
      <c r="H25" s="747"/>
      <c r="I25" s="868"/>
      <c r="J25" s="868"/>
    </row>
    <row r="26" spans="1:10" ht="30" x14ac:dyDescent="0.25">
      <c r="A26" s="743"/>
      <c r="B26" s="744" t="s">
        <v>200</v>
      </c>
      <c r="C26" s="744" t="s">
        <v>208</v>
      </c>
      <c r="D26" s="745"/>
      <c r="E26" s="745">
        <v>2</v>
      </c>
      <c r="F26" s="746"/>
      <c r="G26" s="750" t="str">
        <f t="shared" si="0"/>
        <v>C</v>
      </c>
      <c r="H26" s="868"/>
      <c r="I26" s="868"/>
      <c r="J26" s="868"/>
    </row>
    <row r="27" spans="1:10" ht="30" x14ac:dyDescent="0.25">
      <c r="A27" s="743"/>
      <c r="B27" s="744" t="s">
        <v>209</v>
      </c>
      <c r="C27" s="744" t="s">
        <v>210</v>
      </c>
      <c r="D27" s="745"/>
      <c r="E27" s="745">
        <v>2</v>
      </c>
      <c r="F27" s="746"/>
      <c r="G27" s="750" t="str">
        <f t="shared" si="0"/>
        <v>C</v>
      </c>
      <c r="H27" s="868"/>
      <c r="I27" s="868"/>
      <c r="J27" s="868"/>
    </row>
    <row r="28" spans="1:10" ht="30" x14ac:dyDescent="0.25">
      <c r="A28" s="748" t="s">
        <v>211</v>
      </c>
      <c r="B28" s="749" t="s">
        <v>212</v>
      </c>
      <c r="C28" s="749" t="s">
        <v>213</v>
      </c>
      <c r="D28" s="750"/>
      <c r="E28" s="750">
        <v>2</v>
      </c>
      <c r="F28" s="751" t="s">
        <v>214</v>
      </c>
      <c r="G28" s="750" t="str">
        <f t="shared" si="0"/>
        <v>C</v>
      </c>
      <c r="H28" s="868"/>
      <c r="I28" s="868"/>
      <c r="J28" s="868"/>
    </row>
    <row r="29" spans="1:10" x14ac:dyDescent="0.25">
      <c r="A29" s="743" t="s">
        <v>215</v>
      </c>
      <c r="B29" s="744" t="s">
        <v>216</v>
      </c>
      <c r="C29" s="744" t="s">
        <v>217</v>
      </c>
      <c r="D29" s="745" t="s">
        <v>195</v>
      </c>
      <c r="E29" s="745">
        <v>6</v>
      </c>
      <c r="F29" s="746" t="s">
        <v>218</v>
      </c>
      <c r="G29" s="750" t="str">
        <f t="shared" si="0"/>
        <v>B</v>
      </c>
      <c r="H29" s="868"/>
      <c r="I29" s="868"/>
      <c r="J29" s="868"/>
    </row>
    <row r="30" spans="1:10" ht="30" x14ac:dyDescent="0.25">
      <c r="A30" s="743"/>
      <c r="B30" s="744" t="s">
        <v>219</v>
      </c>
      <c r="C30" s="744" t="s">
        <v>220</v>
      </c>
      <c r="D30" s="745" t="s">
        <v>195</v>
      </c>
      <c r="E30" s="745">
        <v>6</v>
      </c>
      <c r="F30" s="746" t="s">
        <v>218</v>
      </c>
      <c r="G30" s="750" t="str">
        <f t="shared" si="0"/>
        <v>B</v>
      </c>
      <c r="H30" s="868"/>
      <c r="I30" s="868"/>
      <c r="J30" s="868"/>
    </row>
    <row r="31" spans="1:10" ht="30" x14ac:dyDescent="0.25">
      <c r="A31" s="743"/>
      <c r="B31" s="744" t="s">
        <v>221</v>
      </c>
      <c r="C31" s="744" t="s">
        <v>222</v>
      </c>
      <c r="D31" s="745" t="s">
        <v>195</v>
      </c>
      <c r="E31" s="745">
        <v>6</v>
      </c>
      <c r="F31" s="746" t="s">
        <v>218</v>
      </c>
      <c r="G31" s="750" t="str">
        <f t="shared" si="0"/>
        <v>B</v>
      </c>
      <c r="H31" s="868"/>
      <c r="I31" s="868"/>
      <c r="J31" s="868"/>
    </row>
    <row r="32" spans="1:10" ht="30" x14ac:dyDescent="0.25">
      <c r="A32" s="743"/>
      <c r="B32" s="744" t="s">
        <v>223</v>
      </c>
      <c r="C32" s="744" t="s">
        <v>224</v>
      </c>
      <c r="D32" s="745" t="s">
        <v>195</v>
      </c>
      <c r="E32" s="745">
        <v>6</v>
      </c>
      <c r="F32" s="746" t="s">
        <v>218</v>
      </c>
      <c r="G32" s="750" t="str">
        <f t="shared" si="0"/>
        <v>B</v>
      </c>
      <c r="H32" s="868"/>
      <c r="I32" s="868"/>
      <c r="J32" s="868"/>
    </row>
    <row r="33" spans="1:11" ht="30" x14ac:dyDescent="0.25">
      <c r="A33" s="743"/>
      <c r="B33" s="744" t="s">
        <v>225</v>
      </c>
      <c r="C33" s="744" t="s">
        <v>226</v>
      </c>
      <c r="D33" s="745" t="s">
        <v>195</v>
      </c>
      <c r="E33" s="745">
        <v>6</v>
      </c>
      <c r="F33" s="746" t="s">
        <v>218</v>
      </c>
      <c r="G33" s="750" t="str">
        <f t="shared" si="0"/>
        <v>B</v>
      </c>
      <c r="H33" s="868"/>
      <c r="I33" s="868"/>
      <c r="J33" s="868"/>
    </row>
    <row r="34" spans="1:11" ht="30" x14ac:dyDescent="0.25">
      <c r="A34" s="748" t="s">
        <v>227</v>
      </c>
      <c r="B34" s="749" t="s">
        <v>200</v>
      </c>
      <c r="C34" s="749" t="s">
        <v>228</v>
      </c>
      <c r="D34" s="750">
        <v>220</v>
      </c>
      <c r="E34" s="750">
        <v>8</v>
      </c>
      <c r="F34" s="751"/>
      <c r="G34" s="750" t="str">
        <f t="shared" si="0"/>
        <v>A</v>
      </c>
      <c r="H34" s="868"/>
      <c r="I34" s="868"/>
      <c r="J34" s="868"/>
    </row>
    <row r="35" spans="1:11" ht="45" x14ac:dyDescent="0.25">
      <c r="A35" s="748"/>
      <c r="B35" s="749" t="s">
        <v>200</v>
      </c>
      <c r="C35" s="749" t="s">
        <v>229</v>
      </c>
      <c r="D35" s="750"/>
      <c r="E35" s="750">
        <v>8</v>
      </c>
      <c r="F35" s="751"/>
      <c r="G35" s="750" t="str">
        <f t="shared" si="0"/>
        <v>A</v>
      </c>
      <c r="H35" s="868"/>
      <c r="I35" s="868"/>
      <c r="J35" s="868"/>
    </row>
    <row r="36" spans="1:11" ht="30" x14ac:dyDescent="0.25">
      <c r="A36" s="748"/>
      <c r="B36" s="749" t="s">
        <v>200</v>
      </c>
      <c r="C36" s="749" t="s">
        <v>230</v>
      </c>
      <c r="D36" s="750"/>
      <c r="E36" s="750">
        <v>2</v>
      </c>
      <c r="F36" s="751"/>
      <c r="G36" s="750" t="str">
        <f t="shared" si="0"/>
        <v>C</v>
      </c>
      <c r="H36" s="868"/>
      <c r="I36" s="868"/>
      <c r="J36" s="868"/>
    </row>
    <row r="37" spans="1:11" ht="30" x14ac:dyDescent="0.25">
      <c r="A37" s="748"/>
      <c r="B37" s="749" t="s">
        <v>200</v>
      </c>
      <c r="C37" s="749" t="s">
        <v>231</v>
      </c>
      <c r="D37" s="750"/>
      <c r="E37" s="750">
        <v>1</v>
      </c>
      <c r="F37" s="751"/>
      <c r="G37" s="750" t="str">
        <f t="shared" si="0"/>
        <v>Zu klein</v>
      </c>
      <c r="H37" s="868"/>
      <c r="I37" s="868"/>
      <c r="J37" s="868"/>
    </row>
    <row r="38" spans="1:11" ht="45" x14ac:dyDescent="0.25">
      <c r="A38" s="748"/>
      <c r="B38" s="749" t="s">
        <v>200</v>
      </c>
      <c r="C38" s="749" t="s">
        <v>232</v>
      </c>
      <c r="D38" s="750"/>
      <c r="E38" s="750">
        <v>1</v>
      </c>
      <c r="F38" s="751"/>
      <c r="G38" s="750" t="str">
        <f t="shared" si="0"/>
        <v>Zu klein</v>
      </c>
      <c r="H38" s="868"/>
      <c r="I38" s="868"/>
      <c r="J38" s="868"/>
    </row>
    <row r="39" spans="1:11" x14ac:dyDescent="0.25">
      <c r="A39" s="743" t="s">
        <v>233</v>
      </c>
      <c r="B39" s="744" t="s">
        <v>200</v>
      </c>
      <c r="C39" s="744" t="s">
        <v>234</v>
      </c>
      <c r="D39" s="745">
        <v>40</v>
      </c>
      <c r="E39" s="745">
        <v>2</v>
      </c>
      <c r="F39" s="746"/>
      <c r="G39" s="750" t="str">
        <f t="shared" si="0"/>
        <v>C</v>
      </c>
      <c r="H39" s="868"/>
      <c r="I39" s="868"/>
      <c r="J39" s="868"/>
    </row>
    <row r="40" spans="1:11" ht="30" x14ac:dyDescent="0.25">
      <c r="A40" s="748" t="s">
        <v>235</v>
      </c>
      <c r="B40" s="749" t="s">
        <v>236</v>
      </c>
      <c r="C40" s="749" t="s">
        <v>237</v>
      </c>
      <c r="D40" s="750">
        <v>70</v>
      </c>
      <c r="E40" s="750">
        <v>5</v>
      </c>
      <c r="F40" s="751"/>
      <c r="G40" s="750" t="str">
        <f t="shared" si="0"/>
        <v>B</v>
      </c>
      <c r="H40" s="747"/>
      <c r="I40" s="868"/>
      <c r="J40" s="868"/>
    </row>
    <row r="41" spans="1:11" ht="30" x14ac:dyDescent="0.25">
      <c r="A41" s="743" t="s">
        <v>238</v>
      </c>
      <c r="B41" s="744" t="s">
        <v>179</v>
      </c>
      <c r="C41" s="744" t="s">
        <v>239</v>
      </c>
      <c r="D41" s="745">
        <v>50</v>
      </c>
      <c r="E41" s="745">
        <v>1</v>
      </c>
      <c r="F41" s="746" t="s">
        <v>240</v>
      </c>
      <c r="G41" s="750" t="str">
        <f t="shared" si="0"/>
        <v>Zu klein</v>
      </c>
      <c r="H41" s="747"/>
      <c r="I41" s="868"/>
      <c r="J41" s="868"/>
    </row>
    <row r="42" spans="1:11" ht="30" x14ac:dyDescent="0.25">
      <c r="A42" s="743"/>
      <c r="B42" s="744" t="s">
        <v>241</v>
      </c>
      <c r="C42" s="744" t="s">
        <v>242</v>
      </c>
      <c r="D42" s="745" t="s">
        <v>243</v>
      </c>
      <c r="E42" s="745">
        <v>1</v>
      </c>
      <c r="F42" s="746" t="s">
        <v>244</v>
      </c>
      <c r="G42" s="750" t="str">
        <f t="shared" si="0"/>
        <v>Zu klein</v>
      </c>
      <c r="H42" s="868"/>
      <c r="I42" s="868"/>
      <c r="J42" s="868"/>
      <c r="K42" s="513" t="s">
        <v>245</v>
      </c>
    </row>
    <row r="43" spans="1:11" ht="30" x14ac:dyDescent="0.25">
      <c r="A43" s="743"/>
      <c r="B43" s="744" t="s">
        <v>246</v>
      </c>
      <c r="C43" s="744" t="s">
        <v>247</v>
      </c>
      <c r="D43" s="745">
        <v>46</v>
      </c>
      <c r="E43" s="745">
        <v>1</v>
      </c>
      <c r="F43" s="746" t="s">
        <v>248</v>
      </c>
      <c r="G43" s="750" t="str">
        <f t="shared" si="0"/>
        <v>Zu klein</v>
      </c>
      <c r="H43" s="868"/>
      <c r="I43" s="868"/>
      <c r="J43" s="868"/>
    </row>
    <row r="44" spans="1:11" ht="30" x14ac:dyDescent="0.25">
      <c r="A44" s="748" t="s">
        <v>249</v>
      </c>
      <c r="B44" s="749" t="s">
        <v>200</v>
      </c>
      <c r="C44" s="749" t="s">
        <v>250</v>
      </c>
      <c r="D44" s="750"/>
      <c r="E44" s="750">
        <v>4</v>
      </c>
      <c r="F44" s="751"/>
      <c r="G44" s="750" t="str">
        <f t="shared" si="0"/>
        <v>B</v>
      </c>
      <c r="H44" s="868"/>
      <c r="I44" s="868"/>
      <c r="J44" s="868"/>
    </row>
    <row r="45" spans="1:11" ht="45" x14ac:dyDescent="0.25">
      <c r="A45" s="748"/>
      <c r="B45" s="749" t="s">
        <v>251</v>
      </c>
      <c r="C45" s="749" t="s">
        <v>252</v>
      </c>
      <c r="D45" s="750"/>
      <c r="E45" s="750">
        <v>4</v>
      </c>
      <c r="F45" s="751"/>
      <c r="G45" s="750" t="str">
        <f t="shared" si="0"/>
        <v>B</v>
      </c>
      <c r="H45" s="868"/>
      <c r="I45" s="868"/>
      <c r="J45" s="868"/>
    </row>
    <row r="46" spans="1:11" ht="30" x14ac:dyDescent="0.25">
      <c r="A46" s="743" t="s">
        <v>253</v>
      </c>
      <c r="B46" s="744" t="s">
        <v>254</v>
      </c>
      <c r="C46" s="744"/>
      <c r="D46" s="745">
        <v>200</v>
      </c>
      <c r="E46" s="745">
        <v>7</v>
      </c>
      <c r="F46" s="746" t="s">
        <v>255</v>
      </c>
      <c r="G46" s="750" t="str">
        <f t="shared" si="0"/>
        <v>B</v>
      </c>
      <c r="H46" s="868"/>
      <c r="I46" s="868"/>
      <c r="J46" s="868"/>
    </row>
    <row r="47" spans="1:11" ht="30" x14ac:dyDescent="0.25">
      <c r="A47" s="743"/>
      <c r="B47" s="744" t="s">
        <v>256</v>
      </c>
      <c r="C47" s="744"/>
      <c r="D47" s="745">
        <v>130</v>
      </c>
      <c r="E47" s="745">
        <v>5</v>
      </c>
      <c r="F47" s="746" t="s">
        <v>257</v>
      </c>
      <c r="G47" s="750" t="str">
        <f t="shared" si="0"/>
        <v>B</v>
      </c>
      <c r="H47" s="868"/>
      <c r="I47" s="868"/>
      <c r="J47" s="868"/>
    </row>
    <row r="48" spans="1:11" ht="30" x14ac:dyDescent="0.25">
      <c r="A48" s="748" t="s">
        <v>258</v>
      </c>
      <c r="B48" s="749" t="s">
        <v>259</v>
      </c>
      <c r="C48" s="749" t="s">
        <v>260</v>
      </c>
      <c r="D48" s="753" t="s">
        <v>195</v>
      </c>
      <c r="E48" s="750">
        <v>1</v>
      </c>
      <c r="F48" s="751" t="s">
        <v>261</v>
      </c>
      <c r="G48" s="750" t="str">
        <f t="shared" si="0"/>
        <v>Zu klein</v>
      </c>
      <c r="H48" s="868"/>
      <c r="I48" s="868"/>
    </row>
    <row r="49" spans="1:10" ht="30" x14ac:dyDescent="0.25">
      <c r="A49" s="743" t="s">
        <v>262</v>
      </c>
      <c r="B49" s="744" t="s">
        <v>263</v>
      </c>
      <c r="C49" s="744" t="s">
        <v>264</v>
      </c>
      <c r="D49" s="745">
        <v>25</v>
      </c>
      <c r="E49" s="745">
        <v>6</v>
      </c>
      <c r="F49" s="746" t="s">
        <v>265</v>
      </c>
      <c r="G49" s="750" t="str">
        <f t="shared" si="0"/>
        <v>B</v>
      </c>
      <c r="H49" s="868"/>
      <c r="I49" s="868"/>
    </row>
    <row r="50" spans="1:10" ht="30" x14ac:dyDescent="0.25">
      <c r="A50" s="748" t="s">
        <v>266</v>
      </c>
      <c r="B50" s="749" t="s">
        <v>267</v>
      </c>
      <c r="C50" s="749" t="s">
        <v>268</v>
      </c>
      <c r="D50" s="750">
        <v>60</v>
      </c>
      <c r="E50" s="750">
        <v>4</v>
      </c>
      <c r="F50" s="751" t="s">
        <v>269</v>
      </c>
      <c r="G50" s="750" t="str">
        <f t="shared" si="0"/>
        <v>B</v>
      </c>
      <c r="H50" s="868"/>
      <c r="I50" s="868"/>
      <c r="J50" s="754"/>
    </row>
    <row r="51" spans="1:10" ht="30" x14ac:dyDescent="0.25">
      <c r="A51" s="748"/>
      <c r="B51" s="749" t="s">
        <v>270</v>
      </c>
      <c r="C51" s="749" t="s">
        <v>271</v>
      </c>
      <c r="D51" s="750" t="s">
        <v>272</v>
      </c>
      <c r="E51" s="750">
        <v>4</v>
      </c>
      <c r="F51" s="751" t="s">
        <v>273</v>
      </c>
      <c r="G51" s="750" t="str">
        <f t="shared" si="0"/>
        <v>B</v>
      </c>
      <c r="H51" s="868"/>
      <c r="I51" s="868"/>
      <c r="J51" s="868"/>
    </row>
    <row r="52" spans="1:10" ht="30" x14ac:dyDescent="0.25">
      <c r="A52" s="748"/>
      <c r="B52" s="749" t="s">
        <v>274</v>
      </c>
      <c r="C52" s="749" t="s">
        <v>275</v>
      </c>
      <c r="D52" s="750" t="s">
        <v>276</v>
      </c>
      <c r="E52" s="750">
        <v>4</v>
      </c>
      <c r="F52" s="751" t="s">
        <v>277</v>
      </c>
      <c r="G52" s="750" t="str">
        <f t="shared" si="0"/>
        <v>B</v>
      </c>
      <c r="H52" s="868"/>
      <c r="I52" s="868"/>
      <c r="J52" s="868"/>
    </row>
    <row r="53" spans="1:10" x14ac:dyDescent="0.25">
      <c r="A53" s="748"/>
      <c r="B53" s="749" t="s">
        <v>278</v>
      </c>
      <c r="C53" s="749" t="s">
        <v>279</v>
      </c>
      <c r="D53" s="750">
        <v>65</v>
      </c>
      <c r="E53" s="750">
        <v>3</v>
      </c>
      <c r="F53" s="751"/>
      <c r="G53" s="750" t="str">
        <f t="shared" si="0"/>
        <v>C</v>
      </c>
      <c r="H53" s="868"/>
      <c r="I53" s="868"/>
      <c r="J53" s="868"/>
    </row>
    <row r="54" spans="1:10" ht="30" x14ac:dyDescent="0.25">
      <c r="A54" s="748"/>
      <c r="B54" s="749" t="s">
        <v>280</v>
      </c>
      <c r="C54" s="749" t="s">
        <v>281</v>
      </c>
      <c r="D54" s="750">
        <v>30</v>
      </c>
      <c r="E54" s="750">
        <v>3</v>
      </c>
      <c r="F54" s="751"/>
      <c r="G54" s="750" t="str">
        <f t="shared" si="0"/>
        <v>C</v>
      </c>
      <c r="H54" s="868"/>
      <c r="I54" s="868"/>
      <c r="J54" s="868"/>
    </row>
    <row r="55" spans="1:10" ht="30" x14ac:dyDescent="0.25">
      <c r="A55" s="748"/>
      <c r="B55" s="749" t="s">
        <v>282</v>
      </c>
      <c r="C55" s="749" t="s">
        <v>283</v>
      </c>
      <c r="D55" s="750">
        <v>72</v>
      </c>
      <c r="E55" s="750">
        <v>4</v>
      </c>
      <c r="F55" s="751" t="s">
        <v>277</v>
      </c>
      <c r="G55" s="750" t="str">
        <f t="shared" si="0"/>
        <v>B</v>
      </c>
      <c r="H55" s="868"/>
      <c r="I55" s="868"/>
      <c r="J55" s="868"/>
    </row>
    <row r="56" spans="1:10" ht="30" x14ac:dyDescent="0.25">
      <c r="A56" s="743" t="s">
        <v>284</v>
      </c>
      <c r="B56" s="744" t="s">
        <v>285</v>
      </c>
      <c r="C56" s="744" t="s">
        <v>286</v>
      </c>
      <c r="D56" s="745"/>
      <c r="E56" s="745">
        <v>6</v>
      </c>
      <c r="F56" s="746" t="s">
        <v>218</v>
      </c>
      <c r="G56" s="750" t="str">
        <f t="shared" si="0"/>
        <v>B</v>
      </c>
      <c r="H56" s="1230"/>
      <c r="I56" s="1231"/>
      <c r="J56" s="868"/>
    </row>
    <row r="57" spans="1:10" x14ac:dyDescent="0.25">
      <c r="A57" s="743"/>
      <c r="B57" s="744" t="s">
        <v>287</v>
      </c>
      <c r="C57" s="744" t="s">
        <v>288</v>
      </c>
      <c r="D57" s="745"/>
      <c r="E57" s="745">
        <v>7</v>
      </c>
      <c r="F57" s="746" t="s">
        <v>218</v>
      </c>
      <c r="G57" s="750" t="str">
        <f t="shared" si="0"/>
        <v>B</v>
      </c>
      <c r="H57" s="868"/>
      <c r="I57" s="868"/>
      <c r="J57" s="868"/>
    </row>
    <row r="58" spans="1:10" x14ac:dyDescent="0.25">
      <c r="A58" s="743"/>
      <c r="B58" s="744" t="s">
        <v>289</v>
      </c>
      <c r="C58" s="744" t="s">
        <v>290</v>
      </c>
      <c r="D58" s="745"/>
      <c r="E58" s="745">
        <v>2</v>
      </c>
      <c r="F58" s="746" t="s">
        <v>218</v>
      </c>
      <c r="G58" s="750" t="str">
        <f t="shared" si="0"/>
        <v>C</v>
      </c>
      <c r="H58" s="868"/>
      <c r="I58" s="868"/>
      <c r="J58" s="868"/>
    </row>
    <row r="59" spans="1:10" x14ac:dyDescent="0.25">
      <c r="A59" s="748" t="s">
        <v>291</v>
      </c>
      <c r="B59" s="749" t="s">
        <v>292</v>
      </c>
      <c r="C59" s="749"/>
      <c r="D59" s="750">
        <v>4</v>
      </c>
      <c r="E59" s="750">
        <v>1</v>
      </c>
      <c r="F59" s="751" t="s">
        <v>293</v>
      </c>
      <c r="G59" s="750" t="str">
        <f t="shared" si="0"/>
        <v>Zu klein</v>
      </c>
      <c r="H59" s="868"/>
      <c r="I59" s="868"/>
      <c r="J59" s="868"/>
    </row>
    <row r="60" spans="1:10" ht="30" x14ac:dyDescent="0.25">
      <c r="A60" s="748"/>
      <c r="B60" s="749" t="s">
        <v>294</v>
      </c>
      <c r="C60" s="749" t="s">
        <v>295</v>
      </c>
      <c r="D60" s="750">
        <v>15</v>
      </c>
      <c r="E60" s="750">
        <v>1</v>
      </c>
      <c r="F60" s="751" t="s">
        <v>293</v>
      </c>
      <c r="G60" s="750" t="str">
        <f t="shared" si="0"/>
        <v>Zu klein</v>
      </c>
    </row>
    <row r="61" spans="1:10" x14ac:dyDescent="0.25">
      <c r="A61" s="743" t="s">
        <v>296</v>
      </c>
      <c r="B61" s="744" t="s">
        <v>297</v>
      </c>
      <c r="C61" s="744" t="s">
        <v>298</v>
      </c>
      <c r="D61" s="755" t="s">
        <v>195</v>
      </c>
      <c r="E61" s="745">
        <v>1</v>
      </c>
      <c r="F61" s="746" t="s">
        <v>299</v>
      </c>
      <c r="G61" s="750" t="str">
        <f t="shared" si="0"/>
        <v>Zu klein</v>
      </c>
      <c r="H61" s="868"/>
      <c r="I61" s="868"/>
      <c r="J61" s="868"/>
    </row>
    <row r="62" spans="1:10" ht="45" x14ac:dyDescent="0.25">
      <c r="A62" s="756" t="s">
        <v>300</v>
      </c>
      <c r="B62" s="749" t="s">
        <v>127</v>
      </c>
      <c r="C62" s="749" t="s">
        <v>301</v>
      </c>
      <c r="D62" s="750"/>
      <c r="E62" s="750"/>
      <c r="F62" s="751"/>
      <c r="G62" s="750" t="str">
        <f t="shared" si="0"/>
        <v/>
      </c>
      <c r="H62" s="868"/>
      <c r="I62" s="868"/>
      <c r="J62" s="868"/>
    </row>
    <row r="63" spans="1:10" ht="30" x14ac:dyDescent="0.25">
      <c r="A63" s="757" t="s">
        <v>302</v>
      </c>
      <c r="B63" s="744"/>
      <c r="C63" s="744" t="s">
        <v>303</v>
      </c>
      <c r="D63" s="745"/>
      <c r="E63" s="745"/>
      <c r="F63" s="746"/>
      <c r="G63" s="750" t="str">
        <f t="shared" si="0"/>
        <v/>
      </c>
      <c r="H63" s="868"/>
      <c r="I63" s="868"/>
      <c r="J63" s="868"/>
    </row>
    <row r="64" spans="1:10" ht="31.9" customHeight="1" x14ac:dyDescent="0.25">
      <c r="A64" s="758" t="s">
        <v>627</v>
      </c>
      <c r="B64" s="759" t="s">
        <v>626</v>
      </c>
      <c r="C64" s="759"/>
      <c r="D64" s="760"/>
      <c r="E64" s="761">
        <v>40</v>
      </c>
      <c r="F64" s="759" t="s">
        <v>628</v>
      </c>
      <c r="G64" s="761"/>
      <c r="H64" s="868"/>
      <c r="I64" s="868"/>
      <c r="J64" s="868"/>
    </row>
    <row r="65" spans="1:10" x14ac:dyDescent="0.25">
      <c r="B65" s="747"/>
      <c r="C65" s="747"/>
      <c r="D65" s="868"/>
      <c r="E65" s="868"/>
      <c r="F65" s="762" t="s">
        <v>304</v>
      </c>
      <c r="G65" s="763">
        <f>COUNTIF(G2:G63,"A")+COUNTIF(G2:G63,"B")+COUNTIF(G2:G63,"C")+COUNTIF(G2:G63,"Zu klein")</f>
        <v>55</v>
      </c>
      <c r="H65" s="868"/>
      <c r="I65" s="868"/>
      <c r="J65" s="868"/>
    </row>
    <row r="66" spans="1:10" x14ac:dyDescent="0.25">
      <c r="A66" s="868"/>
      <c r="B66" s="747"/>
      <c r="C66" s="747"/>
      <c r="D66" s="868"/>
      <c r="E66" s="868"/>
      <c r="F66" s="868"/>
      <c r="G66" s="764"/>
      <c r="H66" s="868"/>
      <c r="I66" s="868"/>
      <c r="J66" s="868"/>
    </row>
    <row r="67" spans="1:10" x14ac:dyDescent="0.25">
      <c r="A67" s="765" t="s">
        <v>139</v>
      </c>
      <c r="B67" s="766" t="s">
        <v>305</v>
      </c>
      <c r="C67" s="766" t="s">
        <v>306</v>
      </c>
      <c r="D67" s="765" t="s">
        <v>307</v>
      </c>
      <c r="E67" s="765" t="s">
        <v>308</v>
      </c>
      <c r="F67" s="868"/>
      <c r="G67" s="868"/>
      <c r="H67" s="868"/>
      <c r="I67" s="868"/>
      <c r="J67" s="868"/>
    </row>
    <row r="68" spans="1:10" x14ac:dyDescent="0.25">
      <c r="A68" s="767" t="s">
        <v>119</v>
      </c>
      <c r="B68" s="768">
        <f>COUNTIFS($G$5:$G$63,"C")</f>
        <v>20</v>
      </c>
      <c r="C68" s="768">
        <f>COUNTIFS($G$5:$G$63,"B")</f>
        <v>23</v>
      </c>
      <c r="D68" s="768">
        <f>COUNTIFS($G$5:$G$63,"A")</f>
        <v>2</v>
      </c>
      <c r="E68" s="768">
        <f>COUNTIFS($G$5:$G$63,"Zu klein")</f>
        <v>10</v>
      </c>
      <c r="F68" s="769"/>
      <c r="G68" s="868"/>
      <c r="H68" s="868"/>
      <c r="I68" s="868"/>
      <c r="J68" s="868"/>
    </row>
    <row r="69" spans="1:10" x14ac:dyDescent="0.25">
      <c r="A69" s="868"/>
      <c r="B69" s="747"/>
      <c r="C69" s="770" t="s">
        <v>309</v>
      </c>
      <c r="D69" s="771"/>
      <c r="E69" s="771">
        <f>SUM(E5:E63)</f>
        <v>192</v>
      </c>
      <c r="F69" s="868"/>
      <c r="G69" s="868"/>
      <c r="H69" s="868"/>
      <c r="I69" s="868"/>
      <c r="J69" s="868"/>
    </row>
    <row r="70" spans="1:10" x14ac:dyDescent="0.25">
      <c r="A70" s="868"/>
      <c r="B70" s="747"/>
      <c r="C70" s="747"/>
      <c r="D70" s="868"/>
      <c r="E70" s="868"/>
      <c r="F70" s="868"/>
      <c r="G70" s="868"/>
      <c r="H70" s="868"/>
      <c r="I70" s="868"/>
      <c r="J70" s="868"/>
    </row>
    <row r="71" spans="1:10" x14ac:dyDescent="0.25">
      <c r="A71" s="868"/>
      <c r="B71" s="747"/>
      <c r="C71" s="747"/>
      <c r="D71" s="868"/>
      <c r="E71" s="868"/>
      <c r="F71" s="868"/>
      <c r="G71" s="868"/>
      <c r="H71" s="868"/>
      <c r="I71" s="868"/>
      <c r="J71" s="868"/>
    </row>
    <row r="72" spans="1:10" x14ac:dyDescent="0.25">
      <c r="A72" s="868"/>
      <c r="B72" s="747"/>
      <c r="C72" s="747"/>
      <c r="D72" s="868"/>
      <c r="E72" s="868"/>
      <c r="F72" s="868"/>
      <c r="G72" s="868"/>
      <c r="H72" s="868"/>
      <c r="I72" s="868"/>
      <c r="J72" s="868"/>
    </row>
    <row r="73" spans="1:10" x14ac:dyDescent="0.25">
      <c r="A73" s="868"/>
      <c r="B73" s="747"/>
      <c r="C73" s="747"/>
      <c r="D73" s="868"/>
      <c r="E73" s="868"/>
      <c r="F73" s="868"/>
      <c r="G73" s="868"/>
      <c r="H73" s="868"/>
      <c r="I73" s="868"/>
      <c r="J73" s="868"/>
    </row>
    <row r="74" spans="1:10" x14ac:dyDescent="0.25">
      <c r="A74" s="868"/>
      <c r="B74" s="747"/>
      <c r="C74" s="747"/>
      <c r="D74" s="868"/>
      <c r="E74" s="868"/>
      <c r="F74" s="868"/>
      <c r="G74" s="868"/>
      <c r="H74" s="868"/>
      <c r="I74" s="868"/>
      <c r="J74" s="868"/>
    </row>
    <row r="75" spans="1:10" x14ac:dyDescent="0.25">
      <c r="A75" s="868"/>
      <c r="B75" s="747"/>
      <c r="C75" s="747"/>
      <c r="D75" s="868"/>
      <c r="E75" s="868"/>
      <c r="F75" s="868"/>
      <c r="G75" s="868"/>
      <c r="H75" s="868"/>
      <c r="I75" s="868"/>
      <c r="J75" s="868"/>
    </row>
    <row r="76" spans="1:10" x14ac:dyDescent="0.25">
      <c r="A76" s="868"/>
      <c r="B76" s="747"/>
      <c r="C76" s="747"/>
      <c r="D76" s="868"/>
      <c r="E76" s="868"/>
      <c r="F76" s="868"/>
      <c r="G76" s="868"/>
      <c r="H76" s="868"/>
      <c r="I76" s="868"/>
      <c r="J76" s="868"/>
    </row>
    <row r="77" spans="1:10" x14ac:dyDescent="0.25">
      <c r="A77" s="868"/>
      <c r="B77" s="747"/>
      <c r="C77" s="747"/>
      <c r="D77" s="868"/>
      <c r="E77" s="868"/>
      <c r="F77" s="868"/>
      <c r="G77" s="868"/>
      <c r="H77" s="868"/>
      <c r="I77" s="868"/>
      <c r="J77" s="868"/>
    </row>
    <row r="78" spans="1:10" x14ac:dyDescent="0.25">
      <c r="A78" s="868"/>
      <c r="B78" s="747"/>
      <c r="C78" s="747"/>
      <c r="D78" s="868"/>
      <c r="E78" s="868"/>
      <c r="F78" s="868"/>
      <c r="G78" s="868"/>
      <c r="H78" s="868"/>
      <c r="I78" s="868"/>
      <c r="J78" s="868"/>
    </row>
    <row r="79" spans="1:10" x14ac:dyDescent="0.25">
      <c r="A79" s="868"/>
      <c r="B79" s="747"/>
      <c r="C79" s="747"/>
      <c r="D79" s="868"/>
      <c r="E79" s="868"/>
      <c r="F79" s="868"/>
      <c r="G79" s="868"/>
      <c r="H79" s="868"/>
      <c r="I79" s="868"/>
      <c r="J79" s="868"/>
    </row>
    <row r="80" spans="1:10" x14ac:dyDescent="0.25">
      <c r="A80" s="868"/>
      <c r="B80" s="747"/>
      <c r="C80" s="747"/>
      <c r="D80" s="868"/>
      <c r="E80" s="868"/>
      <c r="F80" s="868"/>
      <c r="G80" s="868"/>
      <c r="H80" s="868"/>
      <c r="I80" s="868"/>
      <c r="J80" s="868"/>
    </row>
    <row r="81" spans="1:10" x14ac:dyDescent="0.25">
      <c r="A81" s="868"/>
      <c r="B81" s="747"/>
      <c r="C81" s="747"/>
      <c r="D81" s="868"/>
      <c r="E81" s="868"/>
      <c r="F81" s="868"/>
      <c r="G81" s="868"/>
      <c r="H81" s="868"/>
      <c r="I81" s="868"/>
      <c r="J81" s="868"/>
    </row>
    <row r="82" spans="1:10" x14ac:dyDescent="0.25">
      <c r="A82" s="868"/>
      <c r="B82" s="747"/>
      <c r="C82" s="747"/>
      <c r="D82" s="868"/>
      <c r="E82" s="868"/>
      <c r="F82" s="868"/>
      <c r="G82" s="868"/>
      <c r="H82" s="868"/>
      <c r="I82" s="868"/>
      <c r="J82" s="868"/>
    </row>
    <row r="83" spans="1:10" x14ac:dyDescent="0.25">
      <c r="A83" s="868"/>
      <c r="B83" s="747"/>
      <c r="C83" s="747"/>
      <c r="D83" s="868"/>
      <c r="E83" s="868"/>
      <c r="F83" s="868"/>
      <c r="G83" s="868"/>
      <c r="H83" s="868"/>
      <c r="I83" s="868"/>
      <c r="J83" s="868"/>
    </row>
    <row r="84" spans="1:10" x14ac:dyDescent="0.25">
      <c r="A84" s="868"/>
      <c r="B84" s="747"/>
      <c r="C84" s="747"/>
      <c r="D84" s="868"/>
      <c r="E84" s="868"/>
      <c r="F84" s="868"/>
      <c r="G84" s="868"/>
      <c r="H84" s="868"/>
      <c r="I84" s="868"/>
      <c r="J84" s="868"/>
    </row>
    <row r="85" spans="1:10" x14ac:dyDescent="0.25">
      <c r="A85" s="868"/>
      <c r="B85" s="747"/>
      <c r="C85" s="747"/>
      <c r="D85" s="868"/>
      <c r="E85" s="868"/>
      <c r="F85" s="868"/>
      <c r="G85" s="868"/>
      <c r="H85" s="868"/>
      <c r="I85" s="868"/>
      <c r="J85" s="868"/>
    </row>
    <row r="86" spans="1:10" x14ac:dyDescent="0.25">
      <c r="A86" s="868"/>
      <c r="B86" s="747"/>
      <c r="C86" s="747"/>
      <c r="D86" s="868"/>
      <c r="E86" s="868"/>
      <c r="F86" s="868"/>
      <c r="G86" s="868"/>
      <c r="H86" s="868"/>
      <c r="I86" s="868"/>
      <c r="J86" s="868"/>
    </row>
    <row r="87" spans="1:10" x14ac:dyDescent="0.25">
      <c r="A87" s="868"/>
      <c r="B87" s="747"/>
      <c r="C87" s="747"/>
      <c r="D87" s="868"/>
      <c r="E87" s="868"/>
      <c r="F87" s="868"/>
      <c r="G87" s="868"/>
      <c r="H87" s="868"/>
      <c r="I87" s="868"/>
      <c r="J87" s="868"/>
    </row>
    <row r="88" spans="1:10" x14ac:dyDescent="0.25">
      <c r="A88" s="868"/>
      <c r="B88" s="747"/>
      <c r="C88" s="747"/>
      <c r="D88" s="868"/>
      <c r="E88" s="868"/>
      <c r="F88" s="868"/>
      <c r="G88" s="868"/>
      <c r="H88" s="868"/>
      <c r="I88" s="868"/>
      <c r="J88" s="868"/>
    </row>
    <row r="89" spans="1:10" x14ac:dyDescent="0.25">
      <c r="A89" s="868"/>
      <c r="B89" s="747"/>
      <c r="C89" s="747"/>
      <c r="D89" s="868"/>
      <c r="E89" s="868"/>
      <c r="F89" s="868"/>
      <c r="G89" s="868"/>
      <c r="H89" s="868"/>
      <c r="I89" s="868"/>
      <c r="J89" s="868"/>
    </row>
    <row r="90" spans="1:10" x14ac:dyDescent="0.25">
      <c r="A90" s="868"/>
      <c r="B90" s="747"/>
      <c r="C90" s="747"/>
      <c r="D90" s="868"/>
      <c r="E90" s="868"/>
      <c r="F90" s="868"/>
      <c r="G90" s="868"/>
      <c r="H90" s="868"/>
      <c r="I90" s="868"/>
      <c r="J90" s="868"/>
    </row>
    <row r="91" spans="1:10" x14ac:dyDescent="0.25">
      <c r="A91" s="868"/>
      <c r="B91" s="747"/>
      <c r="C91" s="747"/>
      <c r="D91" s="868"/>
      <c r="E91" s="868"/>
      <c r="F91" s="868"/>
      <c r="G91" s="868"/>
      <c r="H91" s="868"/>
      <c r="I91" s="868"/>
      <c r="J91" s="868"/>
    </row>
    <row r="92" spans="1:10" x14ac:dyDescent="0.25">
      <c r="A92" s="868"/>
      <c r="B92" s="747"/>
      <c r="C92" s="747"/>
      <c r="D92" s="868"/>
      <c r="E92" s="868"/>
      <c r="F92" s="868"/>
      <c r="G92" s="868"/>
      <c r="H92" s="868"/>
      <c r="I92" s="868"/>
      <c r="J92" s="868"/>
    </row>
    <row r="93" spans="1:10" x14ac:dyDescent="0.25">
      <c r="A93" s="868"/>
      <c r="B93" s="747"/>
      <c r="C93" s="747"/>
      <c r="D93" s="868"/>
      <c r="E93" s="868"/>
      <c r="F93" s="868"/>
      <c r="G93" s="868"/>
      <c r="H93" s="868"/>
      <c r="I93" s="868"/>
      <c r="J93" s="868"/>
    </row>
    <row r="94" spans="1:10" x14ac:dyDescent="0.25">
      <c r="A94" s="868"/>
      <c r="B94" s="747"/>
      <c r="C94" s="747"/>
      <c r="D94" s="868"/>
      <c r="E94" s="868"/>
      <c r="F94" s="868"/>
      <c r="G94" s="868"/>
      <c r="H94" s="868"/>
      <c r="I94" s="868"/>
      <c r="J94" s="868"/>
    </row>
    <row r="95" spans="1:10" x14ac:dyDescent="0.25">
      <c r="A95" s="868"/>
      <c r="B95" s="747"/>
      <c r="C95" s="747"/>
      <c r="D95" s="868"/>
      <c r="E95" s="868"/>
      <c r="F95" s="868"/>
      <c r="G95" s="868"/>
      <c r="H95" s="868"/>
      <c r="I95" s="868"/>
      <c r="J95" s="868"/>
    </row>
    <row r="96" spans="1:10" x14ac:dyDescent="0.25">
      <c r="A96" s="868"/>
      <c r="B96" s="747"/>
      <c r="C96" s="747"/>
      <c r="D96" s="868"/>
      <c r="E96" s="868"/>
      <c r="F96" s="868"/>
      <c r="G96" s="868"/>
      <c r="H96" s="868"/>
      <c r="I96" s="868"/>
      <c r="J96" s="868"/>
    </row>
    <row r="97" spans="1:10" x14ac:dyDescent="0.25">
      <c r="A97" s="868"/>
      <c r="B97" s="747"/>
      <c r="C97" s="747"/>
      <c r="D97" s="868"/>
      <c r="E97" s="868"/>
      <c r="F97" s="868"/>
      <c r="G97" s="868"/>
      <c r="H97" s="868"/>
      <c r="I97" s="868"/>
      <c r="J97" s="868"/>
    </row>
    <row r="98" spans="1:10" x14ac:dyDescent="0.25">
      <c r="A98" s="868"/>
      <c r="B98" s="747"/>
      <c r="C98" s="747"/>
      <c r="D98" s="868"/>
      <c r="E98" s="868"/>
      <c r="F98" s="868"/>
      <c r="G98" s="868"/>
      <c r="H98" s="868"/>
      <c r="I98" s="868"/>
      <c r="J98" s="868"/>
    </row>
    <row r="99" spans="1:10" x14ac:dyDescent="0.25">
      <c r="A99" s="868"/>
      <c r="B99" s="747"/>
      <c r="C99" s="747"/>
      <c r="D99" s="868"/>
      <c r="E99" s="868"/>
      <c r="F99" s="868"/>
      <c r="G99" s="868"/>
      <c r="H99" s="868"/>
      <c r="I99" s="868"/>
      <c r="J99" s="868"/>
    </row>
    <row r="100" spans="1:10" x14ac:dyDescent="0.25">
      <c r="A100" s="868"/>
      <c r="B100" s="747"/>
      <c r="C100" s="747"/>
      <c r="D100" s="868"/>
      <c r="E100" s="868"/>
      <c r="F100" s="868"/>
      <c r="G100" s="868"/>
      <c r="H100" s="868"/>
      <c r="I100" s="868"/>
      <c r="J100" s="868"/>
    </row>
    <row r="101" spans="1:10" x14ac:dyDescent="0.25">
      <c r="A101" s="868"/>
      <c r="B101" s="747"/>
      <c r="C101" s="747"/>
      <c r="D101" s="868"/>
      <c r="E101" s="868"/>
      <c r="F101" s="868"/>
      <c r="G101" s="868"/>
      <c r="H101" s="868"/>
      <c r="I101" s="868"/>
      <c r="J101" s="868"/>
    </row>
    <row r="102" spans="1:10" x14ac:dyDescent="0.25">
      <c r="A102" s="868"/>
      <c r="B102" s="747"/>
      <c r="C102" s="747"/>
      <c r="D102" s="868"/>
      <c r="E102" s="868"/>
      <c r="F102" s="868"/>
      <c r="G102" s="868"/>
      <c r="H102" s="868"/>
      <c r="I102" s="868"/>
      <c r="J102" s="868"/>
    </row>
    <row r="103" spans="1:10" x14ac:dyDescent="0.25">
      <c r="A103" s="868"/>
      <c r="B103" s="747"/>
      <c r="C103" s="747"/>
      <c r="D103" s="868"/>
      <c r="E103" s="868"/>
      <c r="F103" s="868"/>
      <c r="G103" s="868"/>
      <c r="H103" s="868"/>
      <c r="I103" s="868"/>
      <c r="J103" s="868"/>
    </row>
    <row r="104" spans="1:10" x14ac:dyDescent="0.25">
      <c r="A104" s="868"/>
      <c r="B104" s="747"/>
      <c r="C104" s="747"/>
      <c r="D104" s="868"/>
      <c r="E104" s="868"/>
      <c r="F104" s="868"/>
      <c r="G104" s="868"/>
      <c r="H104" s="868"/>
      <c r="I104" s="868"/>
      <c r="J104" s="868"/>
    </row>
    <row r="105" spans="1:10" x14ac:dyDescent="0.25">
      <c r="A105" s="868"/>
      <c r="B105" s="747"/>
      <c r="C105" s="747"/>
      <c r="D105" s="868"/>
      <c r="E105" s="868"/>
      <c r="F105" s="868"/>
      <c r="G105" s="868"/>
      <c r="H105" s="868"/>
      <c r="I105" s="868"/>
      <c r="J105" s="868"/>
    </row>
    <row r="106" spans="1:10" x14ac:dyDescent="0.25">
      <c r="A106" s="868"/>
      <c r="B106" s="747"/>
      <c r="C106" s="747"/>
      <c r="D106" s="868"/>
      <c r="E106" s="868"/>
      <c r="F106" s="868"/>
      <c r="G106" s="868"/>
      <c r="H106" s="868"/>
      <c r="I106" s="868"/>
      <c r="J106" s="868"/>
    </row>
    <row r="107" spans="1:10" x14ac:dyDescent="0.25">
      <c r="A107" s="868"/>
      <c r="B107" s="747"/>
      <c r="C107" s="747"/>
      <c r="D107" s="868"/>
      <c r="E107" s="868"/>
      <c r="F107" s="868"/>
      <c r="G107" s="868"/>
      <c r="H107" s="868"/>
      <c r="I107" s="868"/>
      <c r="J107" s="868"/>
    </row>
    <row r="108" spans="1:10" x14ac:dyDescent="0.25">
      <c r="A108" s="868"/>
      <c r="B108" s="747"/>
      <c r="C108" s="747"/>
      <c r="D108" s="868"/>
      <c r="E108" s="868"/>
      <c r="F108" s="868"/>
      <c r="G108" s="868"/>
      <c r="H108" s="868"/>
      <c r="I108" s="868"/>
      <c r="J108" s="868"/>
    </row>
    <row r="109" spans="1:10" x14ac:dyDescent="0.25">
      <c r="A109" s="868"/>
      <c r="B109" s="747"/>
      <c r="C109" s="747"/>
      <c r="D109" s="868"/>
      <c r="E109" s="868"/>
      <c r="F109" s="868"/>
      <c r="G109" s="868"/>
      <c r="H109" s="868"/>
      <c r="I109" s="868"/>
      <c r="J109" s="868"/>
    </row>
    <row r="110" spans="1:10" x14ac:dyDescent="0.25">
      <c r="A110" s="868"/>
      <c r="B110" s="747"/>
      <c r="C110" s="747"/>
      <c r="D110" s="868"/>
      <c r="E110" s="868"/>
      <c r="F110" s="868"/>
      <c r="G110" s="868"/>
      <c r="H110" s="868"/>
      <c r="I110" s="868"/>
      <c r="J110" s="868"/>
    </row>
    <row r="111" spans="1:10" x14ac:dyDescent="0.25">
      <c r="A111" s="868"/>
      <c r="B111" s="747"/>
      <c r="C111" s="747"/>
      <c r="D111" s="868"/>
      <c r="E111" s="868"/>
      <c r="F111" s="868"/>
      <c r="G111" s="868"/>
      <c r="H111" s="868"/>
      <c r="I111" s="868"/>
      <c r="J111" s="868"/>
    </row>
    <row r="112" spans="1:10" x14ac:dyDescent="0.25">
      <c r="A112" s="868"/>
      <c r="B112" s="747"/>
      <c r="C112" s="747"/>
      <c r="D112" s="868"/>
      <c r="E112" s="868"/>
      <c r="F112" s="868"/>
      <c r="G112" s="868"/>
      <c r="H112" s="868"/>
      <c r="I112" s="868"/>
      <c r="J112" s="868"/>
    </row>
    <row r="113" spans="1:10" x14ac:dyDescent="0.25">
      <c r="A113" s="868"/>
      <c r="B113" s="747"/>
      <c r="C113" s="747"/>
      <c r="D113" s="868"/>
      <c r="E113" s="868"/>
      <c r="F113" s="868"/>
      <c r="G113" s="868"/>
      <c r="H113" s="868"/>
      <c r="I113" s="868"/>
      <c r="J113" s="868"/>
    </row>
    <row r="114" spans="1:10" x14ac:dyDescent="0.25">
      <c r="A114" s="868"/>
      <c r="B114" s="747"/>
      <c r="C114" s="747"/>
      <c r="D114" s="868"/>
      <c r="E114" s="868"/>
      <c r="F114" s="868"/>
      <c r="G114" s="868"/>
      <c r="H114" s="868"/>
      <c r="I114" s="868"/>
      <c r="J114" s="868"/>
    </row>
    <row r="115" spans="1:10" x14ac:dyDescent="0.25">
      <c r="A115" s="868"/>
      <c r="B115" s="747"/>
      <c r="C115" s="747"/>
      <c r="D115" s="868"/>
      <c r="E115" s="868"/>
      <c r="F115" s="868"/>
      <c r="G115" s="868"/>
      <c r="H115" s="868"/>
      <c r="I115" s="868"/>
      <c r="J115" s="868"/>
    </row>
    <row r="116" spans="1:10" x14ac:dyDescent="0.25">
      <c r="A116" s="868"/>
      <c r="B116" s="747"/>
      <c r="C116" s="747"/>
      <c r="D116" s="868"/>
      <c r="E116" s="868"/>
      <c r="F116" s="868"/>
      <c r="G116" s="868"/>
      <c r="H116" s="868"/>
      <c r="I116" s="868"/>
      <c r="J116" s="868"/>
    </row>
    <row r="117" spans="1:10" x14ac:dyDescent="0.25">
      <c r="A117" s="868"/>
      <c r="B117" s="747"/>
      <c r="C117" s="747"/>
      <c r="D117" s="868"/>
      <c r="E117" s="868"/>
      <c r="F117" s="868"/>
      <c r="G117" s="868"/>
      <c r="H117" s="868"/>
      <c r="I117" s="868"/>
      <c r="J117" s="868"/>
    </row>
    <row r="118" spans="1:10" x14ac:dyDescent="0.25">
      <c r="A118" s="868"/>
      <c r="B118" s="747"/>
      <c r="C118" s="747"/>
      <c r="D118" s="868"/>
      <c r="E118" s="868"/>
      <c r="F118" s="868"/>
      <c r="G118" s="868"/>
      <c r="H118" s="868"/>
      <c r="I118" s="868"/>
      <c r="J118" s="868"/>
    </row>
    <row r="119" spans="1:10" x14ac:dyDescent="0.25">
      <c r="A119" s="868"/>
      <c r="B119" s="747"/>
      <c r="C119" s="747"/>
      <c r="D119" s="868"/>
      <c r="E119" s="868"/>
      <c r="F119" s="868"/>
      <c r="G119" s="868"/>
      <c r="H119" s="868"/>
      <c r="I119" s="868"/>
      <c r="J119" s="868"/>
    </row>
    <row r="120" spans="1:10" x14ac:dyDescent="0.25">
      <c r="A120" s="868"/>
      <c r="B120" s="747"/>
      <c r="C120" s="747"/>
      <c r="D120" s="868"/>
      <c r="E120" s="868"/>
      <c r="F120" s="868"/>
      <c r="G120" s="868"/>
      <c r="H120" s="868"/>
      <c r="I120" s="868"/>
      <c r="J120" s="868"/>
    </row>
    <row r="121" spans="1:10" x14ac:dyDescent="0.25">
      <c r="A121" s="868"/>
      <c r="B121" s="747"/>
      <c r="C121" s="747"/>
      <c r="D121" s="868"/>
      <c r="E121" s="868"/>
      <c r="F121" s="868"/>
      <c r="G121" s="868"/>
      <c r="H121" s="868"/>
      <c r="I121" s="868"/>
      <c r="J121" s="868"/>
    </row>
    <row r="122" spans="1:10" x14ac:dyDescent="0.25">
      <c r="A122" s="868"/>
      <c r="B122" s="747"/>
      <c r="C122" s="747"/>
      <c r="D122" s="868"/>
      <c r="E122" s="868"/>
      <c r="F122" s="868"/>
      <c r="G122" s="868"/>
      <c r="H122" s="868"/>
      <c r="I122" s="868"/>
      <c r="J122" s="868"/>
    </row>
    <row r="123" spans="1:10" x14ac:dyDescent="0.25">
      <c r="A123" s="868"/>
      <c r="B123" s="747"/>
      <c r="C123" s="747"/>
      <c r="D123" s="868"/>
      <c r="E123" s="868"/>
      <c r="F123" s="868"/>
      <c r="G123" s="868"/>
      <c r="H123" s="868"/>
      <c r="I123" s="868"/>
      <c r="J123" s="868"/>
    </row>
    <row r="124" spans="1:10" x14ac:dyDescent="0.25">
      <c r="A124" s="868"/>
      <c r="B124" s="747"/>
      <c r="C124" s="747"/>
      <c r="D124" s="868"/>
      <c r="E124" s="868"/>
      <c r="F124" s="868"/>
      <c r="G124" s="868"/>
      <c r="H124" s="868"/>
      <c r="I124" s="868"/>
      <c r="J124" s="868"/>
    </row>
    <row r="125" spans="1:10" x14ac:dyDescent="0.25">
      <c r="A125" s="868"/>
      <c r="B125" s="747"/>
      <c r="C125" s="747"/>
      <c r="D125" s="868"/>
      <c r="E125" s="868"/>
      <c r="F125" s="868"/>
      <c r="G125" s="868"/>
      <c r="H125" s="868"/>
      <c r="I125" s="868"/>
      <c r="J125" s="868"/>
    </row>
    <row r="126" spans="1:10" x14ac:dyDescent="0.25">
      <c r="A126" s="868"/>
      <c r="B126" s="747"/>
      <c r="C126" s="747"/>
      <c r="D126" s="868"/>
      <c r="E126" s="868"/>
      <c r="F126" s="868"/>
      <c r="G126" s="868"/>
      <c r="H126" s="868"/>
      <c r="I126" s="868"/>
      <c r="J126" s="868"/>
    </row>
    <row r="127" spans="1:10" x14ac:dyDescent="0.25">
      <c r="A127" s="868"/>
      <c r="B127" s="747"/>
      <c r="C127" s="747"/>
      <c r="D127" s="868"/>
      <c r="E127" s="868"/>
      <c r="F127" s="868"/>
      <c r="G127" s="868"/>
      <c r="H127" s="868"/>
      <c r="I127" s="868"/>
      <c r="J127" s="868"/>
    </row>
    <row r="128" spans="1:10" x14ac:dyDescent="0.25">
      <c r="A128" s="868"/>
      <c r="B128" s="747"/>
      <c r="C128" s="747"/>
      <c r="D128" s="868"/>
      <c r="E128" s="868"/>
      <c r="F128" s="868"/>
      <c r="G128" s="868"/>
      <c r="H128" s="868"/>
      <c r="I128" s="868"/>
      <c r="J128" s="868"/>
    </row>
    <row r="129" spans="1:10" x14ac:dyDescent="0.25">
      <c r="A129" s="868"/>
      <c r="B129" s="747"/>
      <c r="C129" s="747"/>
      <c r="D129" s="868"/>
      <c r="E129" s="868"/>
      <c r="F129" s="868"/>
      <c r="G129" s="868"/>
      <c r="H129" s="868"/>
      <c r="I129" s="868"/>
      <c r="J129" s="868"/>
    </row>
    <row r="130" spans="1:10" x14ac:dyDescent="0.25">
      <c r="A130" s="868"/>
      <c r="B130" s="747"/>
      <c r="C130" s="747"/>
      <c r="D130" s="868"/>
      <c r="E130" s="868"/>
      <c r="F130" s="868"/>
      <c r="G130" s="868"/>
      <c r="H130" s="868"/>
      <c r="I130" s="868"/>
      <c r="J130" s="868"/>
    </row>
    <row r="131" spans="1:10" x14ac:dyDescent="0.25">
      <c r="A131" s="868"/>
      <c r="B131" s="747"/>
      <c r="C131" s="747"/>
      <c r="D131" s="868"/>
      <c r="E131" s="868"/>
      <c r="F131" s="868"/>
      <c r="G131" s="868"/>
      <c r="H131" s="868"/>
      <c r="I131" s="868"/>
      <c r="J131" s="868"/>
    </row>
    <row r="132" spans="1:10" x14ac:dyDescent="0.25">
      <c r="A132" s="868"/>
      <c r="B132" s="747"/>
      <c r="C132" s="747"/>
      <c r="D132" s="868"/>
      <c r="E132" s="868"/>
      <c r="F132" s="868"/>
      <c r="G132" s="868"/>
      <c r="H132" s="868"/>
      <c r="I132" s="868"/>
      <c r="J132" s="868"/>
    </row>
    <row r="133" spans="1:10" x14ac:dyDescent="0.25">
      <c r="A133" s="868"/>
      <c r="B133" s="747"/>
      <c r="C133" s="747"/>
      <c r="D133" s="868"/>
      <c r="E133" s="868"/>
      <c r="F133" s="868"/>
      <c r="G133" s="868"/>
      <c r="H133" s="868"/>
      <c r="I133" s="868"/>
      <c r="J133" s="868"/>
    </row>
    <row r="134" spans="1:10" x14ac:dyDescent="0.25">
      <c r="A134" s="868"/>
      <c r="B134" s="747"/>
      <c r="C134" s="747"/>
      <c r="D134" s="868"/>
      <c r="E134" s="868"/>
      <c r="F134" s="868"/>
      <c r="G134" s="868"/>
      <c r="H134" s="868"/>
      <c r="I134" s="868"/>
      <c r="J134" s="868"/>
    </row>
    <row r="135" spans="1:10" x14ac:dyDescent="0.25">
      <c r="A135" s="868"/>
      <c r="B135" s="747"/>
      <c r="C135" s="747"/>
      <c r="D135" s="868"/>
      <c r="E135" s="868"/>
      <c r="F135" s="868"/>
      <c r="G135" s="868"/>
      <c r="H135" s="868"/>
      <c r="I135" s="868"/>
      <c r="J135" s="868"/>
    </row>
    <row r="136" spans="1:10" x14ac:dyDescent="0.25">
      <c r="A136" s="868"/>
      <c r="B136" s="747"/>
      <c r="C136" s="747"/>
      <c r="D136" s="868"/>
      <c r="E136" s="868"/>
      <c r="F136" s="868"/>
      <c r="G136" s="868"/>
      <c r="H136" s="868"/>
      <c r="I136" s="868"/>
      <c r="J136" s="868"/>
    </row>
    <row r="137" spans="1:10" x14ac:dyDescent="0.25">
      <c r="A137" s="868"/>
      <c r="B137" s="747"/>
      <c r="C137" s="747"/>
      <c r="D137" s="868"/>
      <c r="E137" s="868"/>
      <c r="F137" s="868"/>
      <c r="G137" s="868"/>
      <c r="H137" s="868"/>
      <c r="I137" s="868"/>
      <c r="J137" s="868"/>
    </row>
    <row r="138" spans="1:10" x14ac:dyDescent="0.25">
      <c r="A138" s="868"/>
      <c r="B138" s="747"/>
      <c r="C138" s="747"/>
      <c r="D138" s="868"/>
      <c r="E138" s="868"/>
      <c r="F138" s="868"/>
      <c r="G138" s="868"/>
      <c r="H138" s="868"/>
      <c r="I138" s="868"/>
      <c r="J138" s="868"/>
    </row>
    <row r="139" spans="1:10" x14ac:dyDescent="0.25">
      <c r="A139" s="868"/>
      <c r="B139" s="747"/>
      <c r="C139" s="747"/>
      <c r="D139" s="868"/>
      <c r="E139" s="868"/>
      <c r="F139" s="868"/>
      <c r="G139" s="868"/>
      <c r="H139" s="868"/>
      <c r="I139" s="868"/>
      <c r="J139" s="868"/>
    </row>
    <row r="140" spans="1:10" x14ac:dyDescent="0.25">
      <c r="A140" s="868"/>
      <c r="B140" s="747"/>
      <c r="C140" s="747"/>
      <c r="D140" s="868"/>
      <c r="E140" s="868"/>
      <c r="F140" s="868"/>
      <c r="G140" s="868"/>
      <c r="H140" s="868"/>
      <c r="I140" s="868"/>
      <c r="J140" s="868"/>
    </row>
    <row r="141" spans="1:10" x14ac:dyDescent="0.25">
      <c r="A141" s="868"/>
      <c r="B141" s="747"/>
      <c r="C141" s="747"/>
      <c r="D141" s="868"/>
      <c r="E141" s="868"/>
      <c r="F141" s="868"/>
      <c r="G141" s="868"/>
      <c r="H141" s="868"/>
      <c r="I141" s="868"/>
      <c r="J141" s="868"/>
    </row>
    <row r="142" spans="1:10" x14ac:dyDescent="0.25">
      <c r="A142" s="868"/>
      <c r="B142" s="747"/>
      <c r="C142" s="747"/>
      <c r="D142" s="868"/>
      <c r="E142" s="868"/>
      <c r="F142" s="868"/>
      <c r="G142" s="868"/>
      <c r="H142" s="868"/>
      <c r="I142" s="868"/>
      <c r="J142" s="868"/>
    </row>
    <row r="143" spans="1:10" x14ac:dyDescent="0.25">
      <c r="A143" s="868"/>
      <c r="B143" s="747"/>
      <c r="C143" s="747"/>
      <c r="D143" s="868"/>
      <c r="E143" s="868"/>
      <c r="F143" s="868"/>
      <c r="G143" s="868"/>
      <c r="H143" s="868"/>
      <c r="I143" s="868"/>
      <c r="J143" s="868"/>
    </row>
    <row r="144" spans="1:10" x14ac:dyDescent="0.25">
      <c r="A144" s="868"/>
      <c r="B144" s="747"/>
      <c r="C144" s="747"/>
      <c r="D144" s="868"/>
      <c r="E144" s="868"/>
      <c r="F144" s="868"/>
      <c r="G144" s="868"/>
      <c r="H144" s="868"/>
      <c r="I144" s="868"/>
      <c r="J144" s="868"/>
    </row>
    <row r="145" spans="1:10" x14ac:dyDescent="0.25">
      <c r="A145" s="868"/>
      <c r="B145" s="747"/>
      <c r="C145" s="747"/>
      <c r="D145" s="868"/>
      <c r="E145" s="868"/>
      <c r="F145" s="868"/>
      <c r="G145" s="868"/>
      <c r="H145" s="868"/>
      <c r="I145" s="868"/>
      <c r="J145" s="868"/>
    </row>
    <row r="146" spans="1:10" x14ac:dyDescent="0.25">
      <c r="A146" s="868"/>
      <c r="B146" s="747"/>
      <c r="C146" s="747"/>
      <c r="D146" s="868"/>
      <c r="E146" s="868"/>
      <c r="F146" s="868"/>
      <c r="G146" s="868"/>
      <c r="H146" s="868"/>
      <c r="I146" s="868"/>
      <c r="J146" s="868"/>
    </row>
    <row r="147" spans="1:10" x14ac:dyDescent="0.25">
      <c r="A147" s="868"/>
      <c r="B147" s="747"/>
      <c r="C147" s="747"/>
      <c r="D147" s="868"/>
      <c r="E147" s="868"/>
      <c r="F147" s="868"/>
      <c r="G147" s="868"/>
      <c r="H147" s="868"/>
      <c r="I147" s="868"/>
      <c r="J147" s="868"/>
    </row>
    <row r="148" spans="1:10" x14ac:dyDescent="0.25">
      <c r="A148" s="868"/>
      <c r="B148" s="747"/>
      <c r="C148" s="747"/>
      <c r="D148" s="868"/>
      <c r="E148" s="868"/>
      <c r="F148" s="868"/>
      <c r="G148" s="868"/>
      <c r="H148" s="868"/>
      <c r="I148" s="868"/>
      <c r="J148" s="868"/>
    </row>
    <row r="149" spans="1:10" x14ac:dyDescent="0.25">
      <c r="A149" s="868"/>
      <c r="B149" s="747"/>
      <c r="C149" s="747"/>
      <c r="D149" s="868"/>
      <c r="E149" s="868"/>
      <c r="F149" s="868"/>
      <c r="G149" s="868"/>
      <c r="H149" s="868"/>
      <c r="I149" s="868"/>
      <c r="J149" s="868"/>
    </row>
    <row r="150" spans="1:10" x14ac:dyDescent="0.25">
      <c r="A150" s="868"/>
      <c r="B150" s="747"/>
      <c r="C150" s="747"/>
      <c r="D150" s="868"/>
      <c r="E150" s="868"/>
      <c r="F150" s="868"/>
      <c r="G150" s="868"/>
      <c r="H150" s="868"/>
      <c r="I150" s="868"/>
      <c r="J150" s="868"/>
    </row>
    <row r="151" spans="1:10" x14ac:dyDescent="0.25">
      <c r="A151" s="868"/>
      <c r="B151" s="747"/>
      <c r="C151" s="747"/>
      <c r="D151" s="868"/>
      <c r="E151" s="868"/>
      <c r="F151" s="868"/>
      <c r="G151" s="868"/>
      <c r="H151" s="868"/>
      <c r="I151" s="868"/>
      <c r="J151" s="868"/>
    </row>
    <row r="152" spans="1:10" x14ac:dyDescent="0.25">
      <c r="A152" s="868"/>
      <c r="B152" s="747"/>
      <c r="C152" s="747"/>
      <c r="D152" s="868"/>
      <c r="E152" s="868"/>
      <c r="F152" s="868"/>
      <c r="G152" s="868"/>
      <c r="H152" s="868"/>
      <c r="I152" s="868"/>
      <c r="J152" s="868"/>
    </row>
    <row r="153" spans="1:10" x14ac:dyDescent="0.25">
      <c r="A153" s="868"/>
      <c r="B153" s="747"/>
      <c r="C153" s="747"/>
      <c r="D153" s="868"/>
      <c r="E153" s="868"/>
      <c r="F153" s="868"/>
      <c r="G153" s="868"/>
      <c r="H153" s="868"/>
      <c r="I153" s="868"/>
      <c r="J153" s="868"/>
    </row>
    <row r="154" spans="1:10" x14ac:dyDescent="0.25">
      <c r="A154" s="868"/>
      <c r="B154" s="747"/>
      <c r="C154" s="747"/>
      <c r="D154" s="868"/>
      <c r="E154" s="868"/>
      <c r="F154" s="868"/>
      <c r="G154" s="868"/>
      <c r="H154" s="868"/>
      <c r="I154" s="868"/>
      <c r="J154" s="868"/>
    </row>
    <row r="155" spans="1:10" x14ac:dyDescent="0.25">
      <c r="A155" s="868"/>
      <c r="B155" s="747"/>
      <c r="C155" s="747"/>
      <c r="D155" s="868"/>
      <c r="E155" s="868"/>
      <c r="F155" s="868"/>
      <c r="G155" s="868"/>
      <c r="H155" s="868"/>
      <c r="I155" s="868"/>
      <c r="J155" s="868"/>
    </row>
    <row r="156" spans="1:10" x14ac:dyDescent="0.25">
      <c r="A156" s="868"/>
      <c r="B156" s="747"/>
      <c r="C156" s="747"/>
      <c r="D156" s="868"/>
      <c r="E156" s="868"/>
      <c r="F156" s="868"/>
      <c r="G156" s="868"/>
      <c r="H156" s="868"/>
      <c r="I156" s="868"/>
      <c r="J156" s="868"/>
    </row>
    <row r="157" spans="1:10" x14ac:dyDescent="0.25">
      <c r="A157" s="868"/>
      <c r="B157" s="747"/>
      <c r="C157" s="747"/>
      <c r="D157" s="868"/>
      <c r="E157" s="868"/>
      <c r="F157" s="868"/>
      <c r="G157" s="868"/>
      <c r="H157" s="868"/>
      <c r="I157" s="868"/>
      <c r="J157" s="868"/>
    </row>
    <row r="158" spans="1:10" x14ac:dyDescent="0.25">
      <c r="A158" s="868"/>
      <c r="B158" s="747"/>
      <c r="C158" s="747"/>
      <c r="D158" s="868"/>
      <c r="E158" s="868"/>
      <c r="F158" s="868"/>
      <c r="G158" s="868"/>
      <c r="H158" s="868"/>
      <c r="I158" s="868"/>
      <c r="J158" s="868"/>
    </row>
    <row r="159" spans="1:10" x14ac:dyDescent="0.25">
      <c r="A159" s="868"/>
      <c r="B159" s="747"/>
      <c r="C159" s="747"/>
      <c r="D159" s="868"/>
      <c r="E159" s="868"/>
      <c r="F159" s="868"/>
      <c r="G159" s="868"/>
      <c r="H159" s="868"/>
      <c r="I159" s="868"/>
      <c r="J159" s="868"/>
    </row>
    <row r="160" spans="1:10" x14ac:dyDescent="0.25">
      <c r="A160" s="868"/>
      <c r="B160" s="747"/>
      <c r="C160" s="747"/>
      <c r="D160" s="868"/>
      <c r="E160" s="868"/>
      <c r="F160" s="868"/>
      <c r="G160" s="868"/>
      <c r="H160" s="868"/>
      <c r="I160" s="868"/>
      <c r="J160" s="868"/>
    </row>
    <row r="161" spans="1:10" x14ac:dyDescent="0.25">
      <c r="A161" s="868"/>
      <c r="B161" s="747"/>
      <c r="C161" s="747"/>
      <c r="D161" s="868"/>
      <c r="E161" s="868"/>
      <c r="F161" s="868"/>
      <c r="G161" s="868"/>
      <c r="H161" s="868"/>
      <c r="I161" s="868"/>
      <c r="J161" s="868"/>
    </row>
    <row r="162" spans="1:10" x14ac:dyDescent="0.25">
      <c r="A162" s="868"/>
      <c r="B162" s="747"/>
      <c r="C162" s="747"/>
      <c r="D162" s="868"/>
      <c r="E162" s="868"/>
      <c r="F162" s="868"/>
      <c r="G162" s="868"/>
      <c r="H162" s="868"/>
      <c r="I162" s="868"/>
      <c r="J162" s="868"/>
    </row>
    <row r="163" spans="1:10" x14ac:dyDescent="0.25">
      <c r="A163" s="868"/>
      <c r="B163" s="747"/>
      <c r="C163" s="747"/>
      <c r="D163" s="868"/>
      <c r="E163" s="868"/>
      <c r="F163" s="868"/>
      <c r="G163" s="868"/>
      <c r="H163" s="868"/>
      <c r="I163" s="868"/>
      <c r="J163" s="868"/>
    </row>
    <row r="164" spans="1:10" x14ac:dyDescent="0.25">
      <c r="A164" s="868"/>
      <c r="B164" s="747"/>
      <c r="C164" s="747"/>
      <c r="D164" s="868"/>
      <c r="E164" s="868"/>
      <c r="F164" s="868"/>
      <c r="G164" s="868"/>
      <c r="H164" s="868"/>
      <c r="I164" s="868"/>
      <c r="J164" s="868"/>
    </row>
    <row r="165" spans="1:10" x14ac:dyDescent="0.25">
      <c r="A165" s="868"/>
      <c r="B165" s="747"/>
      <c r="C165" s="747"/>
      <c r="D165" s="868"/>
      <c r="E165" s="868"/>
      <c r="F165" s="868"/>
      <c r="G165" s="868"/>
      <c r="H165" s="868"/>
      <c r="I165" s="868"/>
      <c r="J165" s="868"/>
    </row>
    <row r="166" spans="1:10" x14ac:dyDescent="0.25">
      <c r="A166" s="868"/>
      <c r="B166" s="747"/>
      <c r="C166" s="747"/>
      <c r="D166" s="868"/>
      <c r="E166" s="868"/>
      <c r="F166" s="868"/>
      <c r="G166" s="868"/>
      <c r="H166" s="868"/>
      <c r="I166" s="868"/>
      <c r="J166" s="868"/>
    </row>
    <row r="167" spans="1:10" x14ac:dyDescent="0.25">
      <c r="A167" s="868"/>
      <c r="B167" s="747"/>
      <c r="C167" s="747"/>
      <c r="D167" s="868"/>
      <c r="E167" s="868"/>
      <c r="F167" s="868"/>
      <c r="G167" s="868"/>
      <c r="H167" s="868"/>
      <c r="I167" s="868"/>
      <c r="J167" s="868"/>
    </row>
    <row r="168" spans="1:10" x14ac:dyDescent="0.25">
      <c r="A168" s="868"/>
      <c r="B168" s="747"/>
      <c r="C168" s="747"/>
      <c r="D168" s="868"/>
      <c r="E168" s="868"/>
      <c r="F168" s="868"/>
      <c r="G168" s="868"/>
      <c r="H168" s="868"/>
      <c r="I168" s="868"/>
      <c r="J168" s="868"/>
    </row>
    <row r="169" spans="1:10" x14ac:dyDescent="0.25">
      <c r="A169" s="868"/>
      <c r="B169" s="747"/>
      <c r="C169" s="747"/>
      <c r="D169" s="868"/>
      <c r="E169" s="868"/>
      <c r="F169" s="868"/>
      <c r="G169" s="868"/>
      <c r="H169" s="868"/>
      <c r="I169" s="868"/>
      <c r="J169" s="868"/>
    </row>
    <row r="170" spans="1:10" x14ac:dyDescent="0.25">
      <c r="A170" s="868"/>
      <c r="B170" s="747"/>
      <c r="C170" s="747"/>
      <c r="D170" s="868"/>
      <c r="E170" s="868"/>
      <c r="F170" s="868"/>
      <c r="G170" s="868"/>
      <c r="H170" s="868"/>
      <c r="I170" s="868"/>
      <c r="J170" s="868"/>
    </row>
    <row r="171" spans="1:10" x14ac:dyDescent="0.25">
      <c r="A171" s="868"/>
      <c r="B171" s="747"/>
      <c r="C171" s="747"/>
      <c r="D171" s="868"/>
      <c r="E171" s="868"/>
      <c r="F171" s="868"/>
      <c r="G171" s="868"/>
      <c r="H171" s="868"/>
      <c r="I171" s="868"/>
      <c r="J171" s="868"/>
    </row>
    <row r="172" spans="1:10" x14ac:dyDescent="0.25">
      <c r="A172" s="868"/>
      <c r="B172" s="747"/>
      <c r="C172" s="747"/>
      <c r="D172" s="868"/>
      <c r="E172" s="868"/>
      <c r="F172" s="868"/>
      <c r="G172" s="868"/>
      <c r="H172" s="868"/>
      <c r="I172" s="868"/>
      <c r="J172" s="868"/>
    </row>
    <row r="173" spans="1:10" x14ac:dyDescent="0.25">
      <c r="A173" s="868"/>
      <c r="B173" s="747"/>
      <c r="C173" s="747"/>
      <c r="D173" s="868"/>
      <c r="E173" s="868"/>
      <c r="F173" s="868"/>
      <c r="G173" s="868"/>
      <c r="H173" s="868"/>
      <c r="I173" s="868"/>
      <c r="J173" s="868"/>
    </row>
    <row r="174" spans="1:10" x14ac:dyDescent="0.25">
      <c r="A174" s="868"/>
      <c r="B174" s="747"/>
      <c r="C174" s="747"/>
      <c r="D174" s="868"/>
      <c r="E174" s="868"/>
      <c r="F174" s="868"/>
      <c r="G174" s="868"/>
      <c r="H174" s="868"/>
      <c r="I174" s="868"/>
      <c r="J174" s="868"/>
    </row>
    <row r="175" spans="1:10" x14ac:dyDescent="0.25">
      <c r="A175" s="868"/>
      <c r="B175" s="747"/>
      <c r="C175" s="747"/>
      <c r="D175" s="868"/>
      <c r="E175" s="868"/>
      <c r="F175" s="868"/>
      <c r="G175" s="868"/>
      <c r="H175" s="868"/>
      <c r="I175" s="868"/>
      <c r="J175" s="868"/>
    </row>
    <row r="176" spans="1:10" x14ac:dyDescent="0.25">
      <c r="A176" s="868"/>
      <c r="B176" s="747"/>
      <c r="C176" s="747"/>
      <c r="D176" s="868"/>
      <c r="E176" s="868"/>
      <c r="F176" s="868"/>
      <c r="G176" s="868"/>
      <c r="H176" s="868"/>
      <c r="I176" s="868"/>
      <c r="J176" s="868"/>
    </row>
    <row r="177" spans="1:10" x14ac:dyDescent="0.25">
      <c r="A177" s="868"/>
      <c r="B177" s="747"/>
      <c r="C177" s="747"/>
      <c r="D177" s="868"/>
      <c r="E177" s="868"/>
      <c r="F177" s="868"/>
      <c r="G177" s="868"/>
      <c r="H177" s="868"/>
      <c r="I177" s="868"/>
      <c r="J177" s="868"/>
    </row>
    <row r="178" spans="1:10" x14ac:dyDescent="0.25">
      <c r="A178" s="868"/>
      <c r="B178" s="747"/>
      <c r="C178" s="747"/>
      <c r="D178" s="868"/>
      <c r="E178" s="868"/>
      <c r="F178" s="868"/>
      <c r="G178" s="868"/>
      <c r="H178" s="868"/>
      <c r="I178" s="868"/>
      <c r="J178" s="868"/>
    </row>
    <row r="179" spans="1:10" x14ac:dyDescent="0.25">
      <c r="A179" s="868"/>
      <c r="B179" s="747"/>
      <c r="C179" s="747"/>
      <c r="D179" s="868"/>
      <c r="E179" s="868"/>
      <c r="F179" s="868"/>
      <c r="G179" s="868"/>
      <c r="H179" s="868"/>
      <c r="I179" s="868"/>
      <c r="J179" s="868"/>
    </row>
    <row r="180" spans="1:10" x14ac:dyDescent="0.25">
      <c r="A180" s="868"/>
      <c r="B180" s="747"/>
      <c r="C180" s="747"/>
      <c r="D180" s="868"/>
      <c r="E180" s="868"/>
      <c r="F180" s="868"/>
      <c r="G180" s="868"/>
      <c r="H180" s="868"/>
      <c r="I180" s="868"/>
      <c r="J180" s="868"/>
    </row>
    <row r="181" spans="1:10" x14ac:dyDescent="0.25">
      <c r="A181" s="868"/>
      <c r="B181" s="747"/>
      <c r="C181" s="747"/>
      <c r="D181" s="868"/>
      <c r="E181" s="868"/>
      <c r="F181" s="868"/>
      <c r="G181" s="868"/>
      <c r="H181" s="868"/>
      <c r="I181" s="868"/>
      <c r="J181" s="868"/>
    </row>
    <row r="182" spans="1:10" x14ac:dyDescent="0.25">
      <c r="A182" s="868"/>
      <c r="B182" s="747"/>
      <c r="C182" s="747"/>
      <c r="D182" s="868"/>
      <c r="E182" s="868"/>
      <c r="F182" s="868"/>
      <c r="G182" s="868"/>
      <c r="H182" s="868"/>
      <c r="I182" s="868"/>
      <c r="J182" s="868"/>
    </row>
    <row r="183" spans="1:10" x14ac:dyDescent="0.25">
      <c r="A183" s="868"/>
      <c r="B183" s="747"/>
      <c r="C183" s="747"/>
      <c r="D183" s="868"/>
      <c r="E183" s="868"/>
      <c r="F183" s="868"/>
      <c r="G183" s="868"/>
      <c r="H183" s="868"/>
      <c r="I183" s="868"/>
      <c r="J183" s="868"/>
    </row>
    <row r="184" spans="1:10" x14ac:dyDescent="0.25">
      <c r="A184" s="868"/>
      <c r="B184" s="747"/>
      <c r="C184" s="747"/>
      <c r="D184" s="868"/>
      <c r="E184" s="868"/>
      <c r="F184" s="868"/>
      <c r="G184" s="868"/>
      <c r="H184" s="868"/>
      <c r="I184" s="868"/>
      <c r="J184" s="868"/>
    </row>
    <row r="185" spans="1:10" x14ac:dyDescent="0.25">
      <c r="A185" s="868"/>
      <c r="B185" s="747"/>
      <c r="C185" s="747"/>
      <c r="D185" s="868"/>
      <c r="E185" s="868"/>
      <c r="F185" s="868"/>
      <c r="G185" s="868"/>
      <c r="H185" s="868"/>
      <c r="I185" s="868"/>
      <c r="J185" s="868"/>
    </row>
    <row r="186" spans="1:10" x14ac:dyDescent="0.25">
      <c r="A186" s="868"/>
      <c r="B186" s="747"/>
      <c r="C186" s="747"/>
      <c r="D186" s="868"/>
      <c r="E186" s="868"/>
      <c r="F186" s="868"/>
      <c r="G186" s="868"/>
      <c r="H186" s="868"/>
      <c r="I186" s="868"/>
      <c r="J186" s="868"/>
    </row>
    <row r="187" spans="1:10" x14ac:dyDescent="0.25">
      <c r="A187" s="868"/>
      <c r="B187" s="747"/>
      <c r="C187" s="747"/>
      <c r="D187" s="868"/>
      <c r="E187" s="868"/>
      <c r="F187" s="868"/>
      <c r="G187" s="868"/>
      <c r="H187" s="868"/>
      <c r="I187" s="868"/>
      <c r="J187" s="868"/>
    </row>
    <row r="188" spans="1:10" x14ac:dyDescent="0.25">
      <c r="A188" s="868"/>
      <c r="B188" s="747"/>
      <c r="C188" s="747"/>
      <c r="D188" s="868"/>
      <c r="E188" s="868"/>
      <c r="F188" s="868"/>
      <c r="G188" s="868"/>
      <c r="H188" s="868"/>
      <c r="I188" s="868"/>
      <c r="J188" s="868"/>
    </row>
    <row r="189" spans="1:10" x14ac:dyDescent="0.25">
      <c r="A189" s="868"/>
      <c r="B189" s="747"/>
      <c r="C189" s="747"/>
      <c r="D189" s="868"/>
      <c r="E189" s="868"/>
      <c r="F189" s="868"/>
      <c r="G189" s="868"/>
      <c r="H189" s="868"/>
      <c r="I189" s="868"/>
      <c r="J189" s="868"/>
    </row>
    <row r="190" spans="1:10" x14ac:dyDescent="0.25">
      <c r="A190" s="868"/>
      <c r="B190" s="747"/>
      <c r="C190" s="747"/>
      <c r="D190" s="868"/>
      <c r="E190" s="868"/>
      <c r="F190" s="868"/>
      <c r="G190" s="868"/>
      <c r="H190" s="868"/>
      <c r="I190" s="868"/>
      <c r="J190" s="868"/>
    </row>
    <row r="191" spans="1:10" x14ac:dyDescent="0.25">
      <c r="A191" s="868"/>
      <c r="B191" s="747"/>
      <c r="C191" s="747"/>
      <c r="D191" s="868"/>
      <c r="E191" s="868"/>
      <c r="F191" s="868"/>
      <c r="G191" s="868"/>
      <c r="H191" s="868"/>
      <c r="I191" s="868"/>
      <c r="J191" s="868"/>
    </row>
    <row r="192" spans="1:10" x14ac:dyDescent="0.25">
      <c r="A192" s="868"/>
      <c r="B192" s="747"/>
      <c r="C192" s="747"/>
      <c r="D192" s="868"/>
      <c r="E192" s="868"/>
      <c r="F192" s="868"/>
      <c r="G192" s="868"/>
      <c r="H192" s="868"/>
      <c r="I192" s="868"/>
      <c r="J192" s="868"/>
    </row>
    <row r="193" spans="1:10" x14ac:dyDescent="0.25">
      <c r="A193" s="868"/>
      <c r="B193" s="747"/>
      <c r="C193" s="747"/>
      <c r="D193" s="868"/>
      <c r="E193" s="868"/>
      <c r="F193" s="868"/>
      <c r="G193" s="868"/>
      <c r="H193" s="868"/>
      <c r="I193" s="868"/>
      <c r="J193" s="868"/>
    </row>
    <row r="194" spans="1:10" x14ac:dyDescent="0.25">
      <c r="A194" s="868"/>
      <c r="B194" s="747"/>
      <c r="C194" s="747"/>
      <c r="D194" s="868"/>
      <c r="E194" s="868"/>
      <c r="F194" s="868"/>
      <c r="G194" s="868"/>
      <c r="H194" s="868"/>
      <c r="I194" s="868"/>
      <c r="J194" s="868"/>
    </row>
    <row r="195" spans="1:10" x14ac:dyDescent="0.25">
      <c r="A195" s="868"/>
      <c r="B195" s="747"/>
      <c r="C195" s="747"/>
      <c r="D195" s="868"/>
      <c r="E195" s="868"/>
      <c r="F195" s="868"/>
      <c r="G195" s="868"/>
      <c r="H195" s="868"/>
      <c r="I195" s="868"/>
      <c r="J195" s="868"/>
    </row>
    <row r="196" spans="1:10" x14ac:dyDescent="0.25">
      <c r="A196" s="868"/>
      <c r="B196" s="747"/>
      <c r="C196" s="747"/>
      <c r="D196" s="868"/>
      <c r="E196" s="868"/>
      <c r="F196" s="868"/>
      <c r="G196" s="868"/>
      <c r="H196" s="868"/>
      <c r="I196" s="868"/>
      <c r="J196" s="868"/>
    </row>
    <row r="197" spans="1:10" x14ac:dyDescent="0.25">
      <c r="A197" s="868"/>
      <c r="B197" s="747"/>
      <c r="C197" s="747"/>
      <c r="D197" s="868"/>
      <c r="E197" s="868"/>
      <c r="F197" s="868"/>
      <c r="G197" s="868"/>
      <c r="H197" s="868"/>
      <c r="I197" s="868"/>
      <c r="J197" s="868"/>
    </row>
    <row r="198" spans="1:10" x14ac:dyDescent="0.25">
      <c r="A198" s="868"/>
      <c r="B198" s="747"/>
      <c r="C198" s="747"/>
      <c r="D198" s="868"/>
      <c r="E198" s="868"/>
      <c r="F198" s="868"/>
      <c r="G198" s="868"/>
      <c r="H198" s="868"/>
      <c r="I198" s="868"/>
      <c r="J198" s="868"/>
    </row>
    <row r="199" spans="1:10" x14ac:dyDescent="0.25">
      <c r="A199" s="868"/>
      <c r="B199" s="747"/>
      <c r="C199" s="747"/>
      <c r="D199" s="868"/>
      <c r="E199" s="868"/>
      <c r="F199" s="868"/>
      <c r="G199" s="868"/>
      <c r="H199" s="868"/>
      <c r="I199" s="868"/>
      <c r="J199" s="868"/>
    </row>
    <row r="200" spans="1:10" x14ac:dyDescent="0.25">
      <c r="A200" s="868"/>
      <c r="B200" s="747"/>
      <c r="C200" s="747"/>
      <c r="D200" s="868"/>
      <c r="E200" s="868"/>
      <c r="F200" s="868"/>
      <c r="G200" s="868"/>
      <c r="H200" s="868"/>
      <c r="I200" s="868"/>
      <c r="J200" s="868"/>
    </row>
    <row r="201" spans="1:10" x14ac:dyDescent="0.25">
      <c r="A201" s="868"/>
      <c r="B201" s="747"/>
      <c r="C201" s="747"/>
      <c r="D201" s="868"/>
      <c r="E201" s="868"/>
      <c r="F201" s="868"/>
      <c r="G201" s="868"/>
      <c r="H201" s="868"/>
      <c r="I201" s="868"/>
      <c r="J201" s="868"/>
    </row>
    <row r="202" spans="1:10" x14ac:dyDescent="0.25">
      <c r="A202" s="868"/>
      <c r="B202" s="747"/>
      <c r="C202" s="747"/>
      <c r="D202" s="868"/>
      <c r="E202" s="868"/>
      <c r="F202" s="868"/>
      <c r="G202" s="868"/>
      <c r="H202" s="868"/>
      <c r="I202" s="868"/>
      <c r="J202" s="868"/>
    </row>
    <row r="203" spans="1:10" x14ac:dyDescent="0.25">
      <c r="A203" s="868"/>
      <c r="B203" s="747"/>
      <c r="C203" s="747"/>
      <c r="D203" s="868"/>
      <c r="E203" s="868"/>
      <c r="F203" s="868"/>
      <c r="G203" s="868"/>
      <c r="H203" s="868"/>
      <c r="I203" s="868"/>
      <c r="J203" s="868"/>
    </row>
    <row r="204" spans="1:10" x14ac:dyDescent="0.25">
      <c r="A204" s="868"/>
      <c r="B204" s="747"/>
      <c r="C204" s="747"/>
      <c r="D204" s="868"/>
      <c r="E204" s="868"/>
      <c r="F204" s="868"/>
      <c r="G204" s="868"/>
      <c r="H204" s="868"/>
      <c r="I204" s="868"/>
      <c r="J204" s="868"/>
    </row>
    <row r="205" spans="1:10" x14ac:dyDescent="0.25">
      <c r="A205" s="868"/>
      <c r="B205" s="747"/>
      <c r="C205" s="747"/>
      <c r="D205" s="868"/>
      <c r="E205" s="868"/>
      <c r="F205" s="868"/>
      <c r="G205" s="868"/>
      <c r="H205" s="868"/>
      <c r="I205" s="868"/>
      <c r="J205" s="868"/>
    </row>
    <row r="206" spans="1:10" x14ac:dyDescent="0.25">
      <c r="A206" s="868"/>
      <c r="B206" s="747"/>
      <c r="C206" s="747"/>
      <c r="D206" s="868"/>
      <c r="E206" s="868"/>
      <c r="F206" s="868"/>
      <c r="G206" s="868"/>
      <c r="H206" s="868"/>
      <c r="I206" s="868"/>
      <c r="J206" s="868"/>
    </row>
    <row r="207" spans="1:10" x14ac:dyDescent="0.25">
      <c r="A207" s="868"/>
      <c r="B207" s="747"/>
      <c r="C207" s="747"/>
      <c r="D207" s="868"/>
      <c r="E207" s="868"/>
      <c r="F207" s="868"/>
      <c r="G207" s="868"/>
      <c r="H207" s="868"/>
      <c r="I207" s="868"/>
      <c r="J207" s="868"/>
    </row>
    <row r="208" spans="1:10" x14ac:dyDescent="0.25">
      <c r="A208" s="868"/>
      <c r="B208" s="747"/>
      <c r="C208" s="747"/>
      <c r="D208" s="868"/>
      <c r="E208" s="868"/>
      <c r="F208" s="868"/>
      <c r="G208" s="868"/>
      <c r="H208" s="868"/>
      <c r="I208" s="868"/>
      <c r="J208" s="868"/>
    </row>
    <row r="209" spans="1:10" x14ac:dyDescent="0.25">
      <c r="A209" s="868"/>
      <c r="B209" s="747"/>
      <c r="C209" s="747"/>
      <c r="D209" s="868"/>
      <c r="E209" s="868"/>
      <c r="F209" s="868"/>
      <c r="G209" s="868"/>
      <c r="H209" s="868"/>
      <c r="I209" s="868"/>
      <c r="J209" s="868"/>
    </row>
    <row r="210" spans="1:10" x14ac:dyDescent="0.25">
      <c r="A210" s="868"/>
      <c r="B210" s="747"/>
      <c r="C210" s="747"/>
      <c r="D210" s="868"/>
      <c r="E210" s="868"/>
      <c r="F210" s="868"/>
      <c r="G210" s="868"/>
      <c r="H210" s="868"/>
      <c r="I210" s="868"/>
      <c r="J210" s="868"/>
    </row>
    <row r="211" spans="1:10" x14ac:dyDescent="0.25">
      <c r="A211" s="868"/>
      <c r="B211" s="747"/>
      <c r="C211" s="747"/>
      <c r="D211" s="868"/>
      <c r="E211" s="868"/>
      <c r="F211" s="868"/>
      <c r="G211" s="868"/>
      <c r="H211" s="868"/>
      <c r="I211" s="868"/>
      <c r="J211" s="868"/>
    </row>
    <row r="212" spans="1:10" x14ac:dyDescent="0.25">
      <c r="A212" s="868"/>
      <c r="B212" s="747"/>
      <c r="C212" s="747"/>
      <c r="D212" s="868"/>
      <c r="E212" s="868"/>
      <c r="F212" s="868"/>
      <c r="G212" s="868"/>
      <c r="H212" s="868"/>
      <c r="I212" s="868"/>
      <c r="J212" s="868"/>
    </row>
    <row r="213" spans="1:10" x14ac:dyDescent="0.25">
      <c r="A213" s="868"/>
      <c r="B213" s="747"/>
      <c r="C213" s="747"/>
      <c r="D213" s="868"/>
      <c r="E213" s="868"/>
      <c r="F213" s="868"/>
      <c r="G213" s="868"/>
      <c r="H213" s="868"/>
      <c r="I213" s="868"/>
      <c r="J213" s="868"/>
    </row>
    <row r="214" spans="1:10" x14ac:dyDescent="0.25">
      <c r="A214" s="868"/>
      <c r="B214" s="747"/>
      <c r="C214" s="747"/>
      <c r="D214" s="868"/>
      <c r="E214" s="868"/>
      <c r="F214" s="868"/>
      <c r="G214" s="868"/>
      <c r="H214" s="868"/>
      <c r="I214" s="868"/>
      <c r="J214" s="868"/>
    </row>
    <row r="215" spans="1:10" x14ac:dyDescent="0.25">
      <c r="A215" s="868"/>
      <c r="B215" s="747"/>
      <c r="C215" s="747"/>
      <c r="D215" s="868"/>
      <c r="E215" s="868"/>
      <c r="F215" s="868"/>
      <c r="G215" s="868"/>
      <c r="H215" s="868"/>
      <c r="I215" s="868"/>
      <c r="J215" s="868"/>
    </row>
    <row r="216" spans="1:10" x14ac:dyDescent="0.25">
      <c r="A216" s="868"/>
      <c r="B216" s="747"/>
      <c r="C216" s="747"/>
      <c r="D216" s="868"/>
      <c r="E216" s="868"/>
      <c r="F216" s="868"/>
      <c r="G216" s="868"/>
      <c r="H216" s="868"/>
      <c r="I216" s="868"/>
      <c r="J216" s="868"/>
    </row>
    <row r="217" spans="1:10" x14ac:dyDescent="0.25">
      <c r="A217" s="868"/>
      <c r="B217" s="747"/>
      <c r="C217" s="747"/>
      <c r="D217" s="868"/>
      <c r="E217" s="868"/>
      <c r="F217" s="868"/>
      <c r="G217" s="868"/>
      <c r="H217" s="868"/>
      <c r="I217" s="868"/>
      <c r="J217" s="868"/>
    </row>
    <row r="218" spans="1:10" x14ac:dyDescent="0.25">
      <c r="A218" s="868"/>
      <c r="B218" s="747"/>
      <c r="C218" s="747"/>
      <c r="D218" s="868"/>
      <c r="E218" s="868"/>
      <c r="F218" s="868"/>
      <c r="G218" s="868"/>
      <c r="H218" s="868"/>
      <c r="I218" s="868"/>
      <c r="J218" s="868"/>
    </row>
    <row r="219" spans="1:10" x14ac:dyDescent="0.25">
      <c r="A219" s="868"/>
      <c r="B219" s="747"/>
      <c r="C219" s="747"/>
      <c r="D219" s="868"/>
      <c r="E219" s="868"/>
      <c r="F219" s="868"/>
      <c r="G219" s="868"/>
      <c r="H219" s="868"/>
      <c r="I219" s="868"/>
      <c r="J219" s="868"/>
    </row>
    <row r="220" spans="1:10" x14ac:dyDescent="0.25">
      <c r="A220" s="868"/>
      <c r="B220" s="747"/>
      <c r="C220" s="747"/>
      <c r="D220" s="868"/>
      <c r="E220" s="868"/>
      <c r="F220" s="868"/>
      <c r="G220" s="868"/>
      <c r="H220" s="868"/>
      <c r="I220" s="868"/>
      <c r="J220" s="868"/>
    </row>
    <row r="221" spans="1:10" x14ac:dyDescent="0.25">
      <c r="A221" s="868"/>
      <c r="B221" s="747"/>
      <c r="C221" s="747"/>
      <c r="D221" s="868"/>
      <c r="E221" s="868"/>
      <c r="F221" s="868"/>
      <c r="G221" s="868"/>
      <c r="H221" s="868"/>
      <c r="I221" s="868"/>
      <c r="J221" s="868"/>
    </row>
    <row r="222" spans="1:10" x14ac:dyDescent="0.25">
      <c r="A222" s="868"/>
      <c r="B222" s="747"/>
      <c r="C222" s="747"/>
      <c r="D222" s="868"/>
      <c r="E222" s="868"/>
      <c r="F222" s="868"/>
      <c r="G222" s="868"/>
      <c r="H222" s="868"/>
      <c r="I222" s="868"/>
      <c r="J222" s="868"/>
    </row>
    <row r="223" spans="1:10" x14ac:dyDescent="0.25">
      <c r="A223" s="868"/>
      <c r="B223" s="747"/>
      <c r="C223" s="747"/>
      <c r="D223" s="868"/>
      <c r="E223" s="868"/>
      <c r="F223" s="868"/>
      <c r="G223" s="868"/>
      <c r="H223" s="868"/>
      <c r="I223" s="868"/>
      <c r="J223" s="868"/>
    </row>
    <row r="224" spans="1:10" x14ac:dyDescent="0.25">
      <c r="A224" s="868"/>
      <c r="B224" s="747"/>
      <c r="C224" s="747"/>
      <c r="D224" s="868"/>
      <c r="E224" s="868"/>
      <c r="F224" s="868"/>
      <c r="G224" s="868"/>
      <c r="H224" s="868"/>
      <c r="I224" s="868"/>
      <c r="J224" s="868"/>
    </row>
    <row r="225" spans="1:10" x14ac:dyDescent="0.25">
      <c r="A225" s="868"/>
      <c r="B225" s="747"/>
      <c r="C225" s="747"/>
      <c r="D225" s="868"/>
      <c r="E225" s="868"/>
      <c r="F225" s="868"/>
      <c r="G225" s="868"/>
      <c r="H225" s="868"/>
      <c r="I225" s="868"/>
      <c r="J225" s="868"/>
    </row>
    <row r="226" spans="1:10" x14ac:dyDescent="0.25">
      <c r="A226" s="868"/>
      <c r="B226" s="747"/>
      <c r="C226" s="747"/>
      <c r="D226" s="868"/>
      <c r="E226" s="868"/>
      <c r="F226" s="868"/>
      <c r="G226" s="868"/>
      <c r="H226" s="868"/>
      <c r="I226" s="868"/>
      <c r="J226" s="868"/>
    </row>
    <row r="227" spans="1:10" x14ac:dyDescent="0.25">
      <c r="A227" s="868"/>
      <c r="B227" s="747"/>
      <c r="C227" s="747"/>
      <c r="D227" s="868"/>
      <c r="E227" s="868"/>
      <c r="F227" s="868"/>
      <c r="G227" s="868"/>
      <c r="H227" s="868"/>
      <c r="I227" s="868"/>
      <c r="J227" s="868"/>
    </row>
    <row r="228" spans="1:10" x14ac:dyDescent="0.25">
      <c r="A228" s="868"/>
      <c r="B228" s="747"/>
      <c r="C228" s="747"/>
      <c r="D228" s="868"/>
      <c r="E228" s="868"/>
      <c r="F228" s="868"/>
      <c r="G228" s="868"/>
      <c r="H228" s="868"/>
      <c r="I228" s="868"/>
      <c r="J228" s="868"/>
    </row>
    <row r="229" spans="1:10" x14ac:dyDescent="0.25">
      <c r="A229" s="868"/>
      <c r="B229" s="747"/>
      <c r="C229" s="747"/>
      <c r="D229" s="868"/>
      <c r="E229" s="868"/>
      <c r="F229" s="868"/>
      <c r="G229" s="868"/>
      <c r="H229" s="868"/>
      <c r="I229" s="868"/>
      <c r="J229" s="868"/>
    </row>
    <row r="230" spans="1:10" x14ac:dyDescent="0.25">
      <c r="A230" s="868"/>
      <c r="B230" s="747"/>
      <c r="C230" s="747"/>
      <c r="D230" s="868"/>
      <c r="E230" s="868"/>
      <c r="F230" s="868"/>
      <c r="G230" s="868"/>
      <c r="H230" s="868"/>
      <c r="I230" s="868"/>
      <c r="J230" s="868"/>
    </row>
    <row r="231" spans="1:10" x14ac:dyDescent="0.25">
      <c r="A231" s="868"/>
      <c r="B231" s="747"/>
      <c r="C231" s="747"/>
      <c r="D231" s="868"/>
      <c r="E231" s="868"/>
      <c r="F231" s="868"/>
      <c r="G231" s="868"/>
      <c r="H231" s="868"/>
      <c r="I231" s="868"/>
      <c r="J231" s="868"/>
    </row>
    <row r="232" spans="1:10" x14ac:dyDescent="0.25">
      <c r="A232" s="868"/>
      <c r="B232" s="747"/>
      <c r="C232" s="747"/>
      <c r="D232" s="868"/>
      <c r="E232" s="868"/>
      <c r="F232" s="868"/>
      <c r="G232" s="868"/>
      <c r="H232" s="868"/>
      <c r="I232" s="868"/>
      <c r="J232" s="868"/>
    </row>
    <row r="233" spans="1:10" x14ac:dyDescent="0.25">
      <c r="A233" s="868"/>
      <c r="B233" s="747"/>
      <c r="C233" s="747"/>
      <c r="D233" s="868"/>
      <c r="E233" s="868"/>
      <c r="F233" s="868"/>
      <c r="G233" s="868"/>
      <c r="H233" s="868"/>
      <c r="I233" s="868"/>
      <c r="J233" s="868"/>
    </row>
    <row r="234" spans="1:10" x14ac:dyDescent="0.25">
      <c r="A234" s="868"/>
      <c r="B234" s="747"/>
      <c r="C234" s="747"/>
      <c r="D234" s="868"/>
      <c r="E234" s="868"/>
      <c r="F234" s="868"/>
      <c r="G234" s="868"/>
      <c r="H234" s="868"/>
      <c r="I234" s="868"/>
      <c r="J234" s="868"/>
    </row>
    <row r="235" spans="1:10" x14ac:dyDescent="0.25">
      <c r="A235" s="868"/>
      <c r="B235" s="747"/>
      <c r="C235" s="747"/>
      <c r="D235" s="868"/>
      <c r="E235" s="868"/>
      <c r="F235" s="868"/>
      <c r="G235" s="868"/>
      <c r="H235" s="868"/>
      <c r="I235" s="868"/>
      <c r="J235" s="868"/>
    </row>
    <row r="236" spans="1:10" x14ac:dyDescent="0.25">
      <c r="A236" s="868"/>
      <c r="B236" s="747"/>
      <c r="C236" s="747"/>
      <c r="D236" s="868"/>
      <c r="E236" s="868"/>
      <c r="F236" s="868"/>
      <c r="G236" s="868"/>
      <c r="H236" s="868"/>
      <c r="I236" s="868"/>
      <c r="J236" s="868"/>
    </row>
    <row r="237" spans="1:10" x14ac:dyDescent="0.25">
      <c r="A237" s="868"/>
      <c r="B237" s="747"/>
      <c r="C237" s="747"/>
      <c r="D237" s="868"/>
      <c r="E237" s="868"/>
      <c r="F237" s="868"/>
      <c r="G237" s="868"/>
      <c r="H237" s="868"/>
      <c r="I237" s="868"/>
      <c r="J237" s="868"/>
    </row>
    <row r="238" spans="1:10" x14ac:dyDescent="0.25">
      <c r="A238" s="868"/>
      <c r="B238" s="747"/>
      <c r="C238" s="747"/>
      <c r="D238" s="868"/>
      <c r="E238" s="868"/>
      <c r="F238" s="868"/>
      <c r="G238" s="868"/>
      <c r="H238" s="868"/>
      <c r="I238" s="868"/>
      <c r="J238" s="868"/>
    </row>
    <row r="239" spans="1:10" x14ac:dyDescent="0.25">
      <c r="A239" s="868"/>
      <c r="B239" s="747"/>
      <c r="C239" s="747"/>
      <c r="D239" s="868"/>
      <c r="E239" s="868"/>
      <c r="F239" s="868"/>
      <c r="G239" s="868"/>
      <c r="H239" s="868"/>
      <c r="I239" s="868"/>
      <c r="J239" s="868"/>
    </row>
    <row r="240" spans="1:10" x14ac:dyDescent="0.25">
      <c r="A240" s="868"/>
      <c r="B240" s="747"/>
      <c r="C240" s="747"/>
      <c r="D240" s="868"/>
      <c r="E240" s="868"/>
      <c r="F240" s="868"/>
      <c r="G240" s="868"/>
      <c r="H240" s="868"/>
      <c r="I240" s="868"/>
      <c r="J240" s="868"/>
    </row>
    <row r="241" spans="1:10" x14ac:dyDescent="0.25">
      <c r="A241" s="868"/>
      <c r="B241" s="747"/>
      <c r="C241" s="747"/>
      <c r="D241" s="868"/>
      <c r="E241" s="868"/>
      <c r="F241" s="868"/>
      <c r="G241" s="868"/>
      <c r="H241" s="868"/>
      <c r="I241" s="868"/>
      <c r="J241" s="868"/>
    </row>
    <row r="242" spans="1:10" x14ac:dyDescent="0.25">
      <c r="A242" s="868"/>
      <c r="B242" s="747"/>
      <c r="C242" s="747"/>
      <c r="D242" s="868"/>
      <c r="E242" s="868"/>
      <c r="F242" s="868"/>
      <c r="G242" s="868"/>
      <c r="H242" s="868"/>
      <c r="I242" s="868"/>
      <c r="J242" s="868"/>
    </row>
    <row r="243" spans="1:10" x14ac:dyDescent="0.25">
      <c r="A243" s="868"/>
      <c r="B243" s="747"/>
      <c r="C243" s="747"/>
      <c r="D243" s="868"/>
      <c r="E243" s="868"/>
      <c r="F243" s="868"/>
      <c r="G243" s="868"/>
      <c r="H243" s="868"/>
      <c r="I243" s="868"/>
      <c r="J243" s="868"/>
    </row>
    <row r="244" spans="1:10" x14ac:dyDescent="0.25">
      <c r="A244" s="868"/>
      <c r="B244" s="747"/>
      <c r="C244" s="747"/>
      <c r="D244" s="868"/>
      <c r="E244" s="868"/>
      <c r="F244" s="868"/>
      <c r="G244" s="868"/>
      <c r="H244" s="868"/>
      <c r="I244" s="868"/>
      <c r="J244" s="868"/>
    </row>
    <row r="245" spans="1:10" x14ac:dyDescent="0.25">
      <c r="A245" s="868"/>
      <c r="B245" s="747"/>
      <c r="C245" s="747"/>
      <c r="D245" s="868"/>
      <c r="E245" s="868"/>
      <c r="F245" s="868"/>
      <c r="G245" s="868"/>
      <c r="H245" s="868"/>
      <c r="I245" s="868"/>
      <c r="J245" s="868"/>
    </row>
    <row r="246" spans="1:10" x14ac:dyDescent="0.25">
      <c r="A246" s="868"/>
      <c r="B246" s="747"/>
      <c r="C246" s="747"/>
      <c r="D246" s="868"/>
      <c r="E246" s="868"/>
      <c r="F246" s="868"/>
      <c r="G246" s="868"/>
      <c r="H246" s="868"/>
      <c r="I246" s="868"/>
      <c r="J246" s="868"/>
    </row>
    <row r="247" spans="1:10" x14ac:dyDescent="0.25">
      <c r="A247" s="868"/>
      <c r="B247" s="747"/>
      <c r="C247" s="747"/>
      <c r="D247" s="868"/>
      <c r="E247" s="868"/>
      <c r="F247" s="868"/>
      <c r="G247" s="868"/>
      <c r="H247" s="868"/>
      <c r="I247" s="868"/>
      <c r="J247" s="868"/>
    </row>
    <row r="248" spans="1:10" x14ac:dyDescent="0.25">
      <c r="A248" s="868"/>
      <c r="B248" s="747"/>
      <c r="C248" s="747"/>
      <c r="D248" s="868"/>
      <c r="E248" s="868"/>
      <c r="F248" s="868"/>
      <c r="G248" s="868"/>
      <c r="H248" s="868"/>
      <c r="I248" s="868"/>
      <c r="J248" s="868"/>
    </row>
    <row r="249" spans="1:10" x14ac:dyDescent="0.25">
      <c r="A249" s="868"/>
      <c r="B249" s="747"/>
      <c r="C249" s="747"/>
      <c r="D249" s="868"/>
      <c r="E249" s="868"/>
      <c r="F249" s="868"/>
      <c r="G249" s="868"/>
      <c r="H249" s="868"/>
      <c r="I249" s="868"/>
      <c r="J249" s="868"/>
    </row>
    <row r="250" spans="1:10" x14ac:dyDescent="0.25">
      <c r="A250" s="868"/>
      <c r="B250" s="747"/>
      <c r="C250" s="747"/>
      <c r="D250" s="868"/>
      <c r="E250" s="868"/>
      <c r="F250" s="868"/>
      <c r="G250" s="868"/>
      <c r="H250" s="868"/>
      <c r="I250" s="868"/>
      <c r="J250" s="868"/>
    </row>
    <row r="251" spans="1:10" x14ac:dyDescent="0.25">
      <c r="A251" s="868"/>
      <c r="B251" s="747"/>
      <c r="C251" s="747"/>
      <c r="D251" s="868"/>
      <c r="E251" s="868"/>
      <c r="F251" s="868"/>
      <c r="G251" s="868"/>
      <c r="H251" s="868"/>
      <c r="I251" s="868"/>
      <c r="J251" s="868"/>
    </row>
    <row r="252" spans="1:10" x14ac:dyDescent="0.25">
      <c r="A252" s="868"/>
      <c r="B252" s="747"/>
      <c r="C252" s="747"/>
      <c r="D252" s="868"/>
      <c r="E252" s="868"/>
      <c r="F252" s="868"/>
      <c r="G252" s="868"/>
      <c r="H252" s="868"/>
      <c r="I252" s="868"/>
      <c r="J252" s="868"/>
    </row>
    <row r="253" spans="1:10" x14ac:dyDescent="0.25">
      <c r="A253" s="868"/>
      <c r="B253" s="747"/>
      <c r="C253" s="747"/>
      <c r="D253" s="868"/>
      <c r="E253" s="868"/>
      <c r="F253" s="868"/>
      <c r="G253" s="868"/>
      <c r="H253" s="868"/>
      <c r="I253" s="868"/>
      <c r="J253" s="868"/>
    </row>
    <row r="254" spans="1:10" x14ac:dyDescent="0.25">
      <c r="A254" s="868"/>
      <c r="B254" s="747"/>
      <c r="C254" s="747"/>
      <c r="D254" s="868"/>
      <c r="E254" s="868"/>
      <c r="F254" s="868"/>
      <c r="G254" s="868"/>
      <c r="H254" s="868"/>
      <c r="I254" s="868"/>
      <c r="J254" s="868"/>
    </row>
    <row r="255" spans="1:10" x14ac:dyDescent="0.25">
      <c r="A255" s="868"/>
      <c r="B255" s="747"/>
      <c r="C255" s="747"/>
      <c r="D255" s="868"/>
      <c r="E255" s="868"/>
      <c r="F255" s="868"/>
      <c r="G255" s="868"/>
      <c r="H255" s="868"/>
      <c r="I255" s="868"/>
      <c r="J255" s="868"/>
    </row>
    <row r="256" spans="1:10" x14ac:dyDescent="0.25">
      <c r="A256" s="868"/>
      <c r="B256" s="747"/>
      <c r="C256" s="747"/>
      <c r="D256" s="868"/>
      <c r="E256" s="868"/>
      <c r="F256" s="868"/>
      <c r="G256" s="868"/>
      <c r="H256" s="868"/>
      <c r="I256" s="868"/>
      <c r="J256" s="868"/>
    </row>
    <row r="257" spans="1:10" x14ac:dyDescent="0.25">
      <c r="A257" s="868"/>
      <c r="B257" s="747"/>
      <c r="C257" s="747"/>
      <c r="D257" s="868"/>
      <c r="E257" s="868"/>
      <c r="F257" s="868"/>
      <c r="G257" s="868"/>
      <c r="H257" s="868"/>
      <c r="I257" s="868"/>
      <c r="J257" s="868"/>
    </row>
    <row r="258" spans="1:10" x14ac:dyDescent="0.25">
      <c r="A258" s="868"/>
      <c r="B258" s="747"/>
      <c r="C258" s="747"/>
      <c r="D258" s="868"/>
      <c r="E258" s="868"/>
      <c r="F258" s="868"/>
      <c r="G258" s="868"/>
      <c r="H258" s="868"/>
      <c r="I258" s="868"/>
      <c r="J258" s="868"/>
    </row>
    <row r="259" spans="1:10" x14ac:dyDescent="0.25">
      <c r="A259" s="868"/>
      <c r="B259" s="747"/>
      <c r="C259" s="747"/>
      <c r="D259" s="868"/>
      <c r="E259" s="868"/>
      <c r="F259" s="868"/>
      <c r="G259" s="868"/>
      <c r="H259" s="868"/>
      <c r="I259" s="868"/>
      <c r="J259" s="868"/>
    </row>
    <row r="260" spans="1:10" x14ac:dyDescent="0.25">
      <c r="A260" s="868"/>
      <c r="B260" s="747"/>
      <c r="C260" s="747"/>
      <c r="D260" s="868"/>
      <c r="E260" s="868"/>
      <c r="F260" s="868"/>
      <c r="G260" s="868"/>
      <c r="H260" s="868"/>
      <c r="I260" s="868"/>
      <c r="J260" s="868"/>
    </row>
    <row r="261" spans="1:10" x14ac:dyDescent="0.25">
      <c r="A261" s="868"/>
      <c r="B261" s="747"/>
      <c r="C261" s="747"/>
      <c r="D261" s="868"/>
      <c r="E261" s="868"/>
      <c r="F261" s="868"/>
      <c r="G261" s="868"/>
      <c r="H261" s="868"/>
      <c r="I261" s="868"/>
      <c r="J261" s="868"/>
    </row>
    <row r="262" spans="1:10" x14ac:dyDescent="0.25">
      <c r="A262" s="868"/>
      <c r="B262" s="747"/>
      <c r="C262" s="747"/>
      <c r="D262" s="868"/>
      <c r="E262" s="868"/>
      <c r="F262" s="868"/>
      <c r="G262" s="868"/>
      <c r="H262" s="868"/>
      <c r="I262" s="868"/>
      <c r="J262" s="868"/>
    </row>
    <row r="263" spans="1:10" x14ac:dyDescent="0.25">
      <c r="A263" s="868"/>
      <c r="B263" s="747"/>
      <c r="C263" s="747"/>
      <c r="D263" s="868"/>
      <c r="E263" s="868"/>
      <c r="F263" s="868"/>
      <c r="G263" s="868"/>
      <c r="H263" s="868"/>
      <c r="I263" s="868"/>
      <c r="J263" s="868"/>
    </row>
    <row r="264" spans="1:10" x14ac:dyDescent="0.25">
      <c r="A264" s="868"/>
      <c r="B264" s="747"/>
      <c r="C264" s="747"/>
      <c r="D264" s="868"/>
      <c r="E264" s="868"/>
      <c r="F264" s="868"/>
      <c r="G264" s="868"/>
      <c r="H264" s="868"/>
      <c r="I264" s="868"/>
      <c r="J264" s="868"/>
    </row>
    <row r="265" spans="1:10" x14ac:dyDescent="0.25">
      <c r="A265" s="868"/>
      <c r="B265" s="747"/>
      <c r="C265" s="747"/>
      <c r="D265" s="868"/>
      <c r="E265" s="868"/>
      <c r="F265" s="868"/>
      <c r="G265" s="868"/>
      <c r="H265" s="868"/>
      <c r="I265" s="868"/>
      <c r="J265" s="868"/>
    </row>
    <row r="266" spans="1:10" x14ac:dyDescent="0.25">
      <c r="A266" s="868"/>
      <c r="B266" s="747"/>
      <c r="C266" s="747"/>
      <c r="D266" s="868"/>
      <c r="E266" s="868"/>
      <c r="F266" s="868"/>
      <c r="G266" s="868"/>
      <c r="H266" s="868"/>
      <c r="I266" s="868"/>
      <c r="J266" s="868"/>
    </row>
    <row r="267" spans="1:10" x14ac:dyDescent="0.25">
      <c r="A267" s="868"/>
      <c r="B267" s="747"/>
      <c r="C267" s="747"/>
      <c r="D267" s="868"/>
      <c r="E267" s="868"/>
      <c r="F267" s="868"/>
      <c r="G267" s="868"/>
      <c r="H267" s="868"/>
      <c r="I267" s="868"/>
      <c r="J267" s="868"/>
    </row>
    <row r="268" spans="1:10" x14ac:dyDescent="0.25">
      <c r="A268" s="868"/>
      <c r="B268" s="747"/>
      <c r="C268" s="747"/>
      <c r="D268" s="868"/>
      <c r="E268" s="868"/>
      <c r="F268" s="868"/>
      <c r="G268" s="868"/>
      <c r="H268" s="868"/>
      <c r="I268" s="868"/>
      <c r="J268" s="868"/>
    </row>
    <row r="269" spans="1:10" x14ac:dyDescent="0.25">
      <c r="A269" s="868"/>
      <c r="B269" s="747"/>
      <c r="C269" s="747"/>
      <c r="D269" s="868"/>
      <c r="E269" s="868"/>
      <c r="F269" s="868"/>
      <c r="G269" s="868"/>
      <c r="H269" s="868"/>
      <c r="I269" s="868"/>
      <c r="J269" s="868"/>
    </row>
    <row r="270" spans="1:10" x14ac:dyDescent="0.25">
      <c r="A270" s="868"/>
      <c r="B270" s="747"/>
      <c r="C270" s="747"/>
      <c r="D270" s="868"/>
      <c r="E270" s="868"/>
      <c r="F270" s="868"/>
      <c r="G270" s="868"/>
      <c r="H270" s="868"/>
      <c r="I270" s="868"/>
      <c r="J270" s="868"/>
    </row>
    <row r="271" spans="1:10" x14ac:dyDescent="0.25">
      <c r="A271" s="868"/>
      <c r="B271" s="747"/>
      <c r="C271" s="747"/>
      <c r="D271" s="868"/>
      <c r="E271" s="868"/>
      <c r="F271" s="868"/>
      <c r="G271" s="868"/>
      <c r="H271" s="868"/>
      <c r="I271" s="868"/>
      <c r="J271" s="868"/>
    </row>
    <row r="272" spans="1:10" x14ac:dyDescent="0.25">
      <c r="A272" s="868"/>
      <c r="B272" s="747"/>
      <c r="C272" s="747"/>
      <c r="D272" s="868"/>
      <c r="E272" s="868"/>
      <c r="F272" s="868"/>
      <c r="G272" s="868"/>
      <c r="H272" s="868"/>
      <c r="I272" s="868"/>
      <c r="J272" s="868"/>
    </row>
    <row r="273" spans="1:10" x14ac:dyDescent="0.25">
      <c r="A273" s="868"/>
      <c r="B273" s="747"/>
      <c r="C273" s="747"/>
      <c r="D273" s="868"/>
      <c r="E273" s="868"/>
      <c r="F273" s="868"/>
      <c r="G273" s="868"/>
      <c r="H273" s="868"/>
      <c r="I273" s="868"/>
      <c r="J273" s="868"/>
    </row>
    <row r="274" spans="1:10" x14ac:dyDescent="0.25">
      <c r="A274" s="868"/>
      <c r="B274" s="747"/>
      <c r="C274" s="747"/>
      <c r="D274" s="868"/>
      <c r="E274" s="868"/>
      <c r="F274" s="868"/>
      <c r="G274" s="868"/>
      <c r="H274" s="868"/>
      <c r="I274" s="868"/>
      <c r="J274" s="868"/>
    </row>
    <row r="275" spans="1:10" x14ac:dyDescent="0.25">
      <c r="A275" s="868"/>
      <c r="B275" s="747"/>
      <c r="C275" s="747"/>
      <c r="D275" s="868"/>
      <c r="E275" s="868"/>
      <c r="F275" s="868"/>
      <c r="G275" s="868"/>
      <c r="H275" s="868"/>
      <c r="I275" s="868"/>
      <c r="J275" s="868"/>
    </row>
    <row r="276" spans="1:10" x14ac:dyDescent="0.25">
      <c r="A276" s="868"/>
      <c r="B276" s="747"/>
      <c r="C276" s="747"/>
      <c r="D276" s="868"/>
      <c r="E276" s="868"/>
      <c r="F276" s="868"/>
      <c r="G276" s="868"/>
      <c r="H276" s="868"/>
      <c r="I276" s="868"/>
      <c r="J276" s="868"/>
    </row>
    <row r="277" spans="1:10" x14ac:dyDescent="0.25">
      <c r="A277" s="868"/>
      <c r="B277" s="747"/>
      <c r="C277" s="747"/>
      <c r="D277" s="868"/>
      <c r="E277" s="868"/>
      <c r="F277" s="868"/>
      <c r="G277" s="868"/>
      <c r="H277" s="868"/>
      <c r="I277" s="868"/>
      <c r="J277" s="868"/>
    </row>
    <row r="278" spans="1:10" x14ac:dyDescent="0.25">
      <c r="A278" s="868"/>
      <c r="B278" s="747"/>
      <c r="C278" s="747"/>
      <c r="D278" s="868"/>
      <c r="E278" s="868"/>
      <c r="F278" s="868"/>
      <c r="G278" s="868"/>
      <c r="H278" s="868"/>
      <c r="I278" s="868"/>
      <c r="J278" s="868"/>
    </row>
    <row r="279" spans="1:10" x14ac:dyDescent="0.25">
      <c r="A279" s="868"/>
      <c r="B279" s="747"/>
      <c r="C279" s="747"/>
      <c r="D279" s="868"/>
      <c r="E279" s="868"/>
      <c r="F279" s="868"/>
      <c r="G279" s="868"/>
      <c r="H279" s="868"/>
      <c r="I279" s="868"/>
      <c r="J279" s="868"/>
    </row>
    <row r="280" spans="1:10" x14ac:dyDescent="0.25">
      <c r="A280" s="868"/>
      <c r="B280" s="747"/>
      <c r="C280" s="747"/>
      <c r="D280" s="868"/>
      <c r="E280" s="868"/>
      <c r="F280" s="868"/>
      <c r="G280" s="868"/>
      <c r="H280" s="868"/>
      <c r="I280" s="868"/>
      <c r="J280" s="868"/>
    </row>
  </sheetData>
  <sheetProtection sheet="1" objects="1" scenarios="1"/>
  <autoFilter ref="A1:K63"/>
  <mergeCells count="2">
    <mergeCell ref="F12:F13"/>
    <mergeCell ref="H56:I56"/>
  </mergeCells>
  <printOptions horizontalCentered="1" verticalCentered="1"/>
  <pageMargins left="0.70866141732283472" right="0.70866141732283472" top="0.98425196850393704" bottom="0.78740157480314965" header="0.31496062992125984" footer="0.31496062992125984"/>
  <pageSetup paperSize="8" scale="55" orientation="portrait"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B1:K25"/>
  <sheetViews>
    <sheetView zoomScale="115" zoomScaleNormal="115" workbookViewId="0"/>
  </sheetViews>
  <sheetFormatPr baseColWidth="10" defaultColWidth="11.42578125" defaultRowHeight="14.25" x14ac:dyDescent="0.2"/>
  <cols>
    <col min="1" max="1" width="5.7109375" style="141" customWidth="1"/>
    <col min="2" max="2" width="6.140625" style="141" customWidth="1"/>
    <col min="3" max="3" width="15.85546875" style="141" customWidth="1"/>
    <col min="4" max="4" width="13.28515625" style="141" customWidth="1"/>
    <col min="5" max="5" width="19.7109375" style="141" customWidth="1"/>
    <col min="6" max="6" width="16.5703125" style="141" customWidth="1"/>
    <col min="7" max="7" width="16.28515625" style="141" customWidth="1"/>
    <col min="8" max="8" width="2.7109375" style="141" customWidth="1"/>
    <col min="9" max="9" width="8.7109375" style="141" customWidth="1"/>
    <col min="10" max="10" width="6.85546875" style="141" customWidth="1"/>
    <col min="11" max="16384" width="11.42578125" style="141"/>
  </cols>
  <sheetData>
    <row r="1" spans="2:11" s="365" customFormat="1" ht="20.100000000000001" customHeight="1" thickBot="1" x14ac:dyDescent="0.3"/>
    <row r="2" spans="2:11" s="365" customFormat="1" ht="15" thickBot="1" x14ac:dyDescent="0.3">
      <c r="B2" s="1232" t="s">
        <v>506</v>
      </c>
      <c r="C2" s="1233"/>
      <c r="D2" s="1234"/>
      <c r="E2" s="1238" t="s">
        <v>507</v>
      </c>
      <c r="F2" s="1239"/>
      <c r="G2" s="1238" t="s">
        <v>508</v>
      </c>
      <c r="H2" s="1240"/>
      <c r="I2" s="1240"/>
      <c r="J2" s="1239"/>
    </row>
    <row r="3" spans="2:11" s="365" customFormat="1" ht="16.5" thickBot="1" x14ac:dyDescent="0.3">
      <c r="B3" s="1235"/>
      <c r="C3" s="1236"/>
      <c r="D3" s="1237"/>
      <c r="E3" s="773" t="s">
        <v>509</v>
      </c>
      <c r="F3" s="773">
        <v>2012</v>
      </c>
      <c r="G3" s="773" t="s">
        <v>510</v>
      </c>
      <c r="H3" s="1238" t="s">
        <v>511</v>
      </c>
      <c r="I3" s="1240"/>
      <c r="J3" s="1239"/>
    </row>
    <row r="4" spans="2:11" s="365" customFormat="1" ht="15" thickBot="1" x14ac:dyDescent="0.3">
      <c r="B4" s="1243" t="s">
        <v>512</v>
      </c>
      <c r="C4" s="774" t="s">
        <v>513</v>
      </c>
      <c r="D4" s="775" t="s">
        <v>514</v>
      </c>
      <c r="E4" s="776">
        <v>473371239</v>
      </c>
      <c r="F4" s="777">
        <v>486363005</v>
      </c>
      <c r="G4" s="777">
        <v>12991766</v>
      </c>
      <c r="H4" s="1246">
        <f t="shared" ref="H4:H22" si="0">G4/E4</f>
        <v>2.7445195080810562E-2</v>
      </c>
      <c r="I4" s="1247"/>
      <c r="J4" s="1248"/>
    </row>
    <row r="5" spans="2:11" s="365" customFormat="1" ht="26.25" thickBot="1" x14ac:dyDescent="0.3">
      <c r="B5" s="1244"/>
      <c r="C5" s="775"/>
      <c r="D5" s="775" t="s">
        <v>515</v>
      </c>
      <c r="E5" s="776">
        <v>74952</v>
      </c>
      <c r="F5" s="777">
        <v>88225</v>
      </c>
      <c r="G5" s="777">
        <v>13273</v>
      </c>
      <c r="H5" s="1246">
        <f t="shared" si="0"/>
        <v>0.1770866688013662</v>
      </c>
      <c r="I5" s="1247"/>
      <c r="J5" s="1248"/>
    </row>
    <row r="6" spans="2:11" s="365" customFormat="1" ht="15" thickBot="1" x14ac:dyDescent="0.3">
      <c r="B6" s="1244"/>
      <c r="C6" s="774" t="s">
        <v>516</v>
      </c>
      <c r="D6" s="775" t="s">
        <v>514</v>
      </c>
      <c r="E6" s="776">
        <v>101119116</v>
      </c>
      <c r="F6" s="777">
        <v>93186726</v>
      </c>
      <c r="G6" s="778">
        <v>-7932390</v>
      </c>
      <c r="H6" s="1246">
        <f t="shared" si="0"/>
        <v>-7.8445998281867893E-2</v>
      </c>
      <c r="I6" s="1247"/>
      <c r="J6" s="1248"/>
    </row>
    <row r="7" spans="2:11" s="365" customFormat="1" ht="26.25" thickBot="1" x14ac:dyDescent="0.3">
      <c r="B7" s="1244"/>
      <c r="C7" s="779" t="s">
        <v>517</v>
      </c>
      <c r="D7" s="775" t="s">
        <v>515</v>
      </c>
      <c r="E7" s="776">
        <v>621444</v>
      </c>
      <c r="F7" s="777">
        <v>866747</v>
      </c>
      <c r="G7" s="777">
        <v>245303</v>
      </c>
      <c r="H7" s="1246">
        <f t="shared" si="0"/>
        <v>0.39473065956063619</v>
      </c>
      <c r="I7" s="1247"/>
      <c r="J7" s="1248"/>
    </row>
    <row r="8" spans="2:11" s="365" customFormat="1" ht="26.25" thickBot="1" x14ac:dyDescent="0.3">
      <c r="B8" s="1244"/>
      <c r="C8" s="780"/>
      <c r="D8" s="775" t="s">
        <v>518</v>
      </c>
      <c r="E8" s="776">
        <v>131098</v>
      </c>
      <c r="F8" s="777">
        <v>161499</v>
      </c>
      <c r="G8" s="777">
        <v>30401</v>
      </c>
      <c r="H8" s="1246">
        <f t="shared" si="0"/>
        <v>0.23189522342064714</v>
      </c>
      <c r="I8" s="1247"/>
      <c r="J8" s="1248"/>
    </row>
    <row r="9" spans="2:11" s="365" customFormat="1" ht="15" thickBot="1" x14ac:dyDescent="0.3">
      <c r="B9" s="1244"/>
      <c r="C9" s="1249" t="s">
        <v>519</v>
      </c>
      <c r="D9" s="1250"/>
      <c r="E9" s="777">
        <v>1860707</v>
      </c>
      <c r="F9" s="777">
        <v>18754296</v>
      </c>
      <c r="G9" s="781">
        <v>16893589</v>
      </c>
      <c r="H9" s="1246">
        <f t="shared" si="0"/>
        <v>9.0791236879315225</v>
      </c>
      <c r="I9" s="1247"/>
      <c r="J9" s="1248"/>
    </row>
    <row r="10" spans="2:11" s="365" customFormat="1" ht="15" thickBot="1" x14ac:dyDescent="0.3">
      <c r="B10" s="1244"/>
      <c r="C10" s="775" t="s">
        <v>520</v>
      </c>
      <c r="D10" s="775" t="s">
        <v>514</v>
      </c>
      <c r="E10" s="776">
        <v>242630231</v>
      </c>
      <c r="F10" s="777">
        <v>247216669</v>
      </c>
      <c r="G10" s="777">
        <v>4586438</v>
      </c>
      <c r="H10" s="1246">
        <f t="shared" si="0"/>
        <v>1.8902994820954526E-2</v>
      </c>
      <c r="I10" s="1247"/>
      <c r="J10" s="1248"/>
    </row>
    <row r="11" spans="2:11" s="365" customFormat="1" ht="26.25" thickBot="1" x14ac:dyDescent="0.3">
      <c r="B11" s="1244"/>
      <c r="C11" s="775"/>
      <c r="D11" s="775" t="s">
        <v>515</v>
      </c>
      <c r="E11" s="776">
        <v>84970</v>
      </c>
      <c r="F11" s="777">
        <v>132399</v>
      </c>
      <c r="G11" s="777">
        <v>47429</v>
      </c>
      <c r="H11" s="1246">
        <f t="shared" si="0"/>
        <v>0.55818524185006468</v>
      </c>
      <c r="I11" s="1247"/>
      <c r="J11" s="1248"/>
    </row>
    <row r="12" spans="2:11" s="365" customFormat="1" ht="26.25" thickBot="1" x14ac:dyDescent="0.3">
      <c r="B12" s="1244"/>
      <c r="C12" s="775"/>
      <c r="D12" s="775" t="s">
        <v>518</v>
      </c>
      <c r="E12" s="776">
        <v>517653</v>
      </c>
      <c r="F12" s="777">
        <v>693043</v>
      </c>
      <c r="G12" s="777">
        <v>175390</v>
      </c>
      <c r="H12" s="1246">
        <f t="shared" si="0"/>
        <v>0.33881770220591784</v>
      </c>
      <c r="I12" s="1247"/>
      <c r="J12" s="1248"/>
    </row>
    <row r="13" spans="2:11" s="365" customFormat="1" ht="26.25" customHeight="1" thickBot="1" x14ac:dyDescent="0.3">
      <c r="B13" s="1244"/>
      <c r="C13" s="1249" t="s">
        <v>521</v>
      </c>
      <c r="D13" s="1250"/>
      <c r="E13" s="776">
        <v>19477082</v>
      </c>
      <c r="F13" s="777">
        <v>20765162</v>
      </c>
      <c r="G13" s="781">
        <v>1288080</v>
      </c>
      <c r="H13" s="1246">
        <f t="shared" si="0"/>
        <v>6.6133109672177795E-2</v>
      </c>
      <c r="I13" s="1247"/>
      <c r="J13" s="1248"/>
    </row>
    <row r="14" spans="2:11" s="365" customFormat="1" ht="15" thickBot="1" x14ac:dyDescent="0.3">
      <c r="B14" s="1245"/>
      <c r="C14" s="1249" t="s">
        <v>522</v>
      </c>
      <c r="D14" s="1250"/>
      <c r="E14" s="776">
        <v>2370290</v>
      </c>
      <c r="F14" s="777">
        <v>4016592</v>
      </c>
      <c r="G14" s="781">
        <v>1646592</v>
      </c>
      <c r="H14" s="1246">
        <f t="shared" si="0"/>
        <v>0.69467955397862713</v>
      </c>
      <c r="I14" s="1247"/>
      <c r="J14" s="1248"/>
    </row>
    <row r="15" spans="2:11" s="365" customFormat="1" ht="15" thickBot="1" x14ac:dyDescent="0.3">
      <c r="B15" s="1243" t="s">
        <v>523</v>
      </c>
      <c r="C15" s="1256" t="s">
        <v>524</v>
      </c>
      <c r="D15" s="775" t="s">
        <v>514</v>
      </c>
      <c r="E15" s="776">
        <v>78876465</v>
      </c>
      <c r="F15" s="777">
        <v>84501743</v>
      </c>
      <c r="G15" s="782">
        <v>5625278</v>
      </c>
      <c r="H15" s="1246">
        <f t="shared" si="0"/>
        <v>7.1317572358244E-2</v>
      </c>
      <c r="I15" s="1247"/>
      <c r="J15" s="1248"/>
    </row>
    <row r="16" spans="2:11" s="365" customFormat="1" ht="51.75" thickBot="1" x14ac:dyDescent="0.25">
      <c r="B16" s="1244"/>
      <c r="C16" s="1257"/>
      <c r="D16" s="775" t="s">
        <v>525</v>
      </c>
      <c r="E16" s="776">
        <v>44546767</v>
      </c>
      <c r="F16" s="777">
        <v>44540312</v>
      </c>
      <c r="G16" s="783">
        <v>-6455</v>
      </c>
      <c r="H16" s="1246">
        <f t="shared" si="0"/>
        <v>-1.4490389392343556E-4</v>
      </c>
      <c r="I16" s="1247"/>
      <c r="J16" s="1248"/>
      <c r="K16" s="141"/>
    </row>
    <row r="17" spans="2:11" s="365" customFormat="1" ht="39" thickBot="1" x14ac:dyDescent="0.25">
      <c r="B17" s="1244"/>
      <c r="C17" s="1257"/>
      <c r="D17" s="775" t="s">
        <v>526</v>
      </c>
      <c r="E17" s="776">
        <v>13179482</v>
      </c>
      <c r="F17" s="777">
        <v>13828507</v>
      </c>
      <c r="G17" s="782">
        <v>649025</v>
      </c>
      <c r="H17" s="1246">
        <f t="shared" si="0"/>
        <v>4.9245106901773528E-2</v>
      </c>
      <c r="I17" s="1247"/>
      <c r="J17" s="1248"/>
      <c r="K17" s="141"/>
    </row>
    <row r="18" spans="2:11" s="365" customFormat="1" ht="39" thickBot="1" x14ac:dyDescent="0.25">
      <c r="B18" s="1244"/>
      <c r="C18" s="1258"/>
      <c r="D18" s="775" t="s">
        <v>527</v>
      </c>
      <c r="E18" s="776">
        <v>20920901</v>
      </c>
      <c r="F18" s="777">
        <v>26046112</v>
      </c>
      <c r="G18" s="782">
        <v>5125211</v>
      </c>
      <c r="H18" s="1246">
        <f t="shared" si="0"/>
        <v>0.2449804145624512</v>
      </c>
      <c r="I18" s="1247"/>
      <c r="J18" s="1248"/>
      <c r="K18" s="141"/>
    </row>
    <row r="19" spans="2:11" s="365" customFormat="1" ht="30" customHeight="1" thickBot="1" x14ac:dyDescent="0.25">
      <c r="B19" s="1244"/>
      <c r="C19" s="1241" t="s">
        <v>528</v>
      </c>
      <c r="D19" s="1242"/>
      <c r="E19" s="776">
        <v>86670184</v>
      </c>
      <c r="F19" s="777">
        <v>86867138</v>
      </c>
      <c r="G19" s="781">
        <v>196954</v>
      </c>
      <c r="H19" s="1246">
        <f t="shared" si="0"/>
        <v>2.2724539271775403E-3</v>
      </c>
      <c r="I19" s="1247"/>
      <c r="J19" s="1248"/>
      <c r="K19" s="141"/>
    </row>
    <row r="20" spans="2:11" s="365" customFormat="1" ht="15" thickBot="1" x14ac:dyDescent="0.25">
      <c r="B20" s="1244"/>
      <c r="C20" s="1241" t="s">
        <v>529</v>
      </c>
      <c r="D20" s="1242"/>
      <c r="E20" s="776">
        <v>33333472</v>
      </c>
      <c r="F20" s="777">
        <v>38682227</v>
      </c>
      <c r="G20" s="781">
        <v>5348755</v>
      </c>
      <c r="H20" s="1246">
        <f t="shared" si="0"/>
        <v>0.16046198247815288</v>
      </c>
      <c r="I20" s="1247"/>
      <c r="J20" s="1248"/>
      <c r="K20" s="141"/>
    </row>
    <row r="21" spans="2:11" s="365" customFormat="1" ht="15" thickBot="1" x14ac:dyDescent="0.25">
      <c r="B21" s="1245"/>
      <c r="C21" s="1241" t="s">
        <v>530</v>
      </c>
      <c r="D21" s="1242"/>
      <c r="E21" s="776">
        <v>10463710</v>
      </c>
      <c r="F21" s="777">
        <v>9622055</v>
      </c>
      <c r="G21" s="784">
        <v>-841655</v>
      </c>
      <c r="H21" s="1246">
        <f t="shared" si="0"/>
        <v>-8.0435619870963551E-2</v>
      </c>
      <c r="I21" s="1247"/>
      <c r="J21" s="1248"/>
      <c r="K21" s="141"/>
    </row>
    <row r="22" spans="2:11" s="365" customFormat="1" ht="15" thickBot="1" x14ac:dyDescent="0.25">
      <c r="B22" s="1253" t="s">
        <v>514</v>
      </c>
      <c r="C22" s="1254"/>
      <c r="D22" s="1255"/>
      <c r="E22" s="785">
        <v>1050172496</v>
      </c>
      <c r="F22" s="785">
        <v>1089975613</v>
      </c>
      <c r="G22" s="785">
        <v>39803117</v>
      </c>
      <c r="H22" s="1246">
        <f t="shared" si="0"/>
        <v>3.7901503944929062E-2</v>
      </c>
      <c r="I22" s="1247"/>
      <c r="J22" s="1248"/>
      <c r="K22" s="141"/>
    </row>
    <row r="23" spans="2:11" s="365" customFormat="1" ht="20.100000000000001" customHeight="1" x14ac:dyDescent="0.2">
      <c r="B23" s="1251" t="s">
        <v>531</v>
      </c>
      <c r="C23" s="1251"/>
      <c r="D23" s="1251"/>
      <c r="E23" s="1251"/>
      <c r="F23" s="1251"/>
      <c r="G23" s="1251"/>
      <c r="H23" s="1251"/>
      <c r="I23" s="1251"/>
      <c r="J23" s="1251"/>
      <c r="K23" s="141"/>
    </row>
    <row r="24" spans="2:11" s="365" customFormat="1" x14ac:dyDescent="0.2">
      <c r="B24" s="1252"/>
      <c r="C24" s="1252"/>
      <c r="D24" s="1252"/>
      <c r="E24" s="1252"/>
      <c r="F24" s="1252"/>
      <c r="G24" s="1252"/>
      <c r="H24" s="1252"/>
      <c r="I24" s="1252"/>
      <c r="J24" s="1252"/>
      <c r="K24" s="141"/>
    </row>
    <row r="25" spans="2:11" s="365" customFormat="1" x14ac:dyDescent="0.2">
      <c r="B25" s="141"/>
      <c r="C25" s="141"/>
      <c r="D25" s="141"/>
      <c r="E25" s="141"/>
      <c r="F25" s="141"/>
      <c r="G25" s="141"/>
      <c r="H25" s="141"/>
      <c r="I25" s="141"/>
      <c r="J25" s="141"/>
      <c r="K25" s="141"/>
    </row>
  </sheetData>
  <sheetProtection sheet="1" objects="1" scenarios="1"/>
  <mergeCells count="34">
    <mergeCell ref="B23:J24"/>
    <mergeCell ref="B22:D22"/>
    <mergeCell ref="H22:J22"/>
    <mergeCell ref="H9:J9"/>
    <mergeCell ref="H13:J13"/>
    <mergeCell ref="H14:J14"/>
    <mergeCell ref="H19:J19"/>
    <mergeCell ref="H20:J20"/>
    <mergeCell ref="H21:J21"/>
    <mergeCell ref="B15:B21"/>
    <mergeCell ref="C15:C18"/>
    <mergeCell ref="H15:J15"/>
    <mergeCell ref="H16:J16"/>
    <mergeCell ref="H17:J17"/>
    <mergeCell ref="H18:J18"/>
    <mergeCell ref="C19:D19"/>
    <mergeCell ref="C21:D21"/>
    <mergeCell ref="B4:B14"/>
    <mergeCell ref="H4:J4"/>
    <mergeCell ref="H5:J5"/>
    <mergeCell ref="H6:J6"/>
    <mergeCell ref="H7:J7"/>
    <mergeCell ref="H8:J8"/>
    <mergeCell ref="C9:D9"/>
    <mergeCell ref="H10:J10"/>
    <mergeCell ref="H11:J11"/>
    <mergeCell ref="H12:J12"/>
    <mergeCell ref="C13:D13"/>
    <mergeCell ref="C14:D14"/>
    <mergeCell ref="B2:D3"/>
    <mergeCell ref="E2:F2"/>
    <mergeCell ref="G2:J2"/>
    <mergeCell ref="H3:J3"/>
    <mergeCell ref="C20:D20"/>
  </mergeCells>
  <printOptions horizontalCentered="1" verticalCentered="1"/>
  <pageMargins left="0.70866141732283472" right="0.70866141732283472" top="0.98425196850393704" bottom="0.78740157480314965" header="0.31496062992125984" footer="0.31496062992125984"/>
  <pageSetup paperSize="8" scale="73"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Q27"/>
  <sheetViews>
    <sheetView topLeftCell="B11" zoomScaleNormal="100" workbookViewId="0">
      <selection activeCell="M11" sqref="M11"/>
    </sheetView>
  </sheetViews>
  <sheetFormatPr baseColWidth="10" defaultRowHeight="15" x14ac:dyDescent="0.25"/>
  <cols>
    <col min="1" max="1" width="42.28515625" style="786" customWidth="1"/>
    <col min="2" max="3" width="13.7109375" style="786" customWidth="1"/>
    <col min="4" max="17" width="13.7109375" style="513" customWidth="1"/>
    <col min="18" max="16384" width="11.42578125" style="513"/>
  </cols>
  <sheetData>
    <row r="1" spans="1:17" x14ac:dyDescent="0.25">
      <c r="A1" s="786" t="s">
        <v>322</v>
      </c>
      <c r="B1" s="786" t="s">
        <v>341</v>
      </c>
      <c r="C1" s="786" t="s">
        <v>342</v>
      </c>
      <c r="F1" s="786" t="s">
        <v>394</v>
      </c>
    </row>
    <row r="3" spans="1:17" x14ac:dyDescent="0.25">
      <c r="A3" s="786" t="s">
        <v>315</v>
      </c>
      <c r="B3" s="786">
        <v>1</v>
      </c>
      <c r="C3" s="786">
        <v>1</v>
      </c>
      <c r="F3" s="786">
        <v>0</v>
      </c>
    </row>
    <row r="4" spans="1:17" x14ac:dyDescent="0.25">
      <c r="A4" s="786" t="s">
        <v>316</v>
      </c>
      <c r="B4" s="786">
        <v>2</v>
      </c>
      <c r="C4" s="786">
        <v>2</v>
      </c>
    </row>
    <row r="5" spans="1:17" x14ac:dyDescent="0.25">
      <c r="C5" s="786">
        <v>3</v>
      </c>
    </row>
    <row r="7" spans="1:17" x14ac:dyDescent="0.25">
      <c r="A7" s="787" t="s">
        <v>445</v>
      </c>
      <c r="B7" s="788"/>
      <c r="D7" s="786"/>
      <c r="E7" s="786"/>
    </row>
    <row r="8" spans="1:17" x14ac:dyDescent="0.25">
      <c r="A8" s="789" t="s">
        <v>437</v>
      </c>
      <c r="B8" s="790" t="s">
        <v>378</v>
      </c>
      <c r="C8" s="791" t="s">
        <v>379</v>
      </c>
      <c r="D8" s="791" t="s">
        <v>380</v>
      </c>
      <c r="E8" s="790" t="s">
        <v>381</v>
      </c>
      <c r="F8" s="791" t="s">
        <v>382</v>
      </c>
      <c r="G8" s="791" t="s">
        <v>383</v>
      </c>
      <c r="H8" s="790" t="s">
        <v>384</v>
      </c>
      <c r="I8" s="791" t="s">
        <v>385</v>
      </c>
      <c r="J8" s="791" t="s">
        <v>386</v>
      </c>
      <c r="K8" s="790" t="s">
        <v>387</v>
      </c>
      <c r="L8" s="791" t="s">
        <v>388</v>
      </c>
      <c r="M8" s="791" t="s">
        <v>389</v>
      </c>
      <c r="N8" s="790" t="s">
        <v>390</v>
      </c>
      <c r="O8" s="791" t="s">
        <v>391</v>
      </c>
      <c r="P8" s="791" t="s">
        <v>392</v>
      </c>
      <c r="Q8" s="790" t="s">
        <v>393</v>
      </c>
    </row>
    <row r="9" spans="1:17" x14ac:dyDescent="0.25">
      <c r="A9" s="789" t="s">
        <v>441</v>
      </c>
      <c r="B9" s="792">
        <f>'Gesamtkosten periodenbezogen'!D21</f>
        <v>150476825</v>
      </c>
      <c r="C9" s="792">
        <f>'Gesamtkosten periodenbezogen'!E21</f>
        <v>6.6191255696682865E-3</v>
      </c>
      <c r="D9" s="792">
        <f>'Gesamtkosten periodenbezogen'!F21</f>
        <v>0</v>
      </c>
      <c r="E9" s="792">
        <f>'Gesamtkosten periodenbezogen'!G21</f>
        <v>0</v>
      </c>
      <c r="F9" s="792">
        <f>'Gesamtkosten periodenbezogen'!H21</f>
        <v>1301000</v>
      </c>
      <c r="G9" s="792">
        <f>'Gesamtkosten periodenbezogen'!I21</f>
        <v>0</v>
      </c>
      <c r="H9" s="792">
        <f>'Gesamtkosten periodenbezogen'!J21</f>
        <v>2565025</v>
      </c>
      <c r="I9" s="792">
        <f>'Gesamtkosten periodenbezogen'!K21</f>
        <v>1301000</v>
      </c>
      <c r="J9" s="792">
        <f>'Gesamtkosten periodenbezogen'!L21</f>
        <v>0</v>
      </c>
      <c r="K9" s="792">
        <f>'Gesamtkosten periodenbezogen'!M21</f>
        <v>0</v>
      </c>
      <c r="L9" s="792">
        <f>'Gesamtkosten periodenbezogen'!N21</f>
        <v>78316300</v>
      </c>
      <c r="M9" s="792">
        <f>'Gesamtkosten periodenbezogen'!O21</f>
        <v>2565025</v>
      </c>
      <c r="N9" s="792">
        <f>'Gesamtkosten periodenbezogen'!P21</f>
        <v>0</v>
      </c>
      <c r="O9" s="792">
        <f>'Gesamtkosten periodenbezogen'!Q21</f>
        <v>1301000</v>
      </c>
      <c r="P9" s="792">
        <f>'Gesamtkosten periodenbezogen'!R21</f>
        <v>0</v>
      </c>
      <c r="Q9" s="792">
        <f>'Gesamtkosten periodenbezogen'!S21</f>
        <v>0</v>
      </c>
    </row>
    <row r="10" spans="1:17" x14ac:dyDescent="0.25">
      <c r="A10" s="789" t="s">
        <v>683</v>
      </c>
      <c r="B10" s="792"/>
      <c r="C10" s="792">
        <f>'Gesamtkosten periodenbezogen'!E47</f>
        <v>59973717.282837838</v>
      </c>
      <c r="D10" s="792">
        <f>'Gesamtkosten periodenbezogen'!F47</f>
        <v>59973717.282837838</v>
      </c>
      <c r="E10" s="792">
        <f>'Gesamtkosten periodenbezogen'!G47</f>
        <v>59973717.282837838</v>
      </c>
      <c r="F10" s="792">
        <f>'Gesamtkosten periodenbezogen'!H47</f>
        <v>59973717.282837838</v>
      </c>
      <c r="G10" s="792">
        <f>'Gesamtkosten periodenbezogen'!I47</f>
        <v>59973717.282837838</v>
      </c>
      <c r="H10" s="792">
        <f>'Gesamtkosten periodenbezogen'!J47</f>
        <v>59973717.282837838</v>
      </c>
      <c r="I10" s="792">
        <f>'Gesamtkosten periodenbezogen'!K47</f>
        <v>59973717.282837838</v>
      </c>
      <c r="J10" s="792">
        <f>'Gesamtkosten periodenbezogen'!L47</f>
        <v>59973717.282837838</v>
      </c>
      <c r="K10" s="792">
        <f>'Gesamtkosten periodenbezogen'!M47</f>
        <v>59973717.282837838</v>
      </c>
      <c r="L10" s="792">
        <f>'Gesamtkosten periodenbezogen'!N47</f>
        <v>59973717.282837838</v>
      </c>
      <c r="M10" s="792">
        <f>'Gesamtkosten periodenbezogen'!O47</f>
        <v>59973717.282837838</v>
      </c>
      <c r="N10" s="792">
        <f>'Gesamtkosten periodenbezogen'!P47</f>
        <v>59973717.282837838</v>
      </c>
      <c r="O10" s="792">
        <f>'Gesamtkosten periodenbezogen'!Q47</f>
        <v>59973717.282837838</v>
      </c>
      <c r="P10" s="792">
        <f>'Gesamtkosten periodenbezogen'!R47</f>
        <v>59973717.282837838</v>
      </c>
      <c r="Q10" s="792">
        <f>'Gesamtkosten periodenbezogen'!S47</f>
        <v>59973717.282837838</v>
      </c>
    </row>
    <row r="11" spans="1:17" x14ac:dyDescent="0.25">
      <c r="A11" s="789" t="s">
        <v>729</v>
      </c>
      <c r="B11" s="792"/>
      <c r="C11" s="792">
        <f>'Gesamtkosten periodenbezogen'!E47+'Gesamtkosten periodenbezogen'!E50</f>
        <v>70359990.353547841</v>
      </c>
      <c r="D11" s="792">
        <f>'Gesamtkosten periodenbezogen'!F47+'Gesamtkosten periodenbezogen'!F50</f>
        <v>70044274.696360379</v>
      </c>
      <c r="E11" s="792">
        <f>'Gesamtkosten periodenbezogen'!G47+'Gesamtkosten periodenbezogen'!G50</f>
        <v>69719087.569457293</v>
      </c>
      <c r="F11" s="792">
        <f>'Gesamtkosten periodenbezogen'!H47+'Gesamtkosten periodenbezogen'!H50</f>
        <v>69423174.828747123</v>
      </c>
      <c r="G11" s="792">
        <f>'Gesamtkosten periodenbezogen'!I47+'Gesamtkosten periodenbezogen'!I50</f>
        <v>69078183.805815637</v>
      </c>
      <c r="H11" s="792">
        <f>'Gesamtkosten periodenbezogen'!J47+'Gesamtkosten periodenbezogen'!J50</f>
        <v>68799793.802196205</v>
      </c>
      <c r="I11" s="792">
        <f>'Gesamtkosten periodenbezogen'!K47+'Gesamtkosten periodenbezogen'!K50</f>
        <v>68472822.825968191</v>
      </c>
      <c r="J11" s="792">
        <f>'Gesamtkosten periodenbezogen'!L47+'Gesamtkosten periodenbezogen'!L50</f>
        <v>68095841.820453346</v>
      </c>
      <c r="K11" s="792">
        <f>'Gesamtkosten periodenbezogen'!M47+'Gesamtkosten periodenbezogen'!M50</f>
        <v>67707551.384773046</v>
      </c>
      <c r="L11" s="792">
        <f>'Gesamtkosten periodenbezogen'!N47+'Gesamtkosten periodenbezogen'!N50</f>
        <v>69657101.236022353</v>
      </c>
      <c r="M11" s="792">
        <f>'Gesamtkosten periodenbezogen'!O47+'Gesamtkosten periodenbezogen'!O50</f>
        <v>69322114.662809119</v>
      </c>
      <c r="N11" s="792">
        <f>'Gesamtkosten periodenbezogen'!P47+'Gesamtkosten periodenbezogen'!P50</f>
        <v>68897819.219899505</v>
      </c>
      <c r="O11" s="792">
        <f>'Gesamtkosten periodenbezogen'!Q47+'Gesamtkosten periodenbezogen'!Q50</f>
        <v>68499824.913702592</v>
      </c>
      <c r="P11" s="792">
        <f>'Gesamtkosten periodenbezogen'!R47+'Gesamtkosten periodenbezogen'!R50</f>
        <v>68049689.87831977</v>
      </c>
      <c r="Q11" s="792">
        <f>'Gesamtkosten periodenbezogen'!S47+'Gesamtkosten periodenbezogen'!S50</f>
        <v>67586050.791875467</v>
      </c>
    </row>
    <row r="12" spans="1:17" x14ac:dyDescent="0.25">
      <c r="A12" s="789" t="s">
        <v>728</v>
      </c>
      <c r="B12" s="792"/>
      <c r="C12" s="792">
        <f>'Gesamtkosten incl. WBK'!D51</f>
        <v>84266173.131325617</v>
      </c>
      <c r="D12" s="792">
        <f>'Gesamtkosten incl. WBK'!E51</f>
        <v>83950457.474138156</v>
      </c>
      <c r="E12" s="792">
        <f>'Gesamtkosten incl. WBK'!F51</f>
        <v>83625270.347235069</v>
      </c>
      <c r="F12" s="792">
        <f>'Gesamtkosten incl. WBK'!G51</f>
        <v>83329357.606524885</v>
      </c>
      <c r="G12" s="792">
        <f>'Gesamtkosten incl. WBK'!H51</f>
        <v>82984366.583593413</v>
      </c>
      <c r="H12" s="792">
        <f>'Gesamtkosten incl. WBK'!I51</f>
        <v>82705976.579973981</v>
      </c>
      <c r="I12" s="792">
        <f>'Gesamtkosten incl. WBK'!J51</f>
        <v>82379005.603745967</v>
      </c>
      <c r="J12" s="792">
        <f>'Gesamtkosten incl. WBK'!K51</f>
        <v>82002024.598231122</v>
      </c>
      <c r="K12" s="792">
        <f>'Gesamtkosten incl. WBK'!L51</f>
        <v>81613734.162550822</v>
      </c>
      <c r="L12" s="792">
        <f>'Gesamtkosten incl. WBK'!M51</f>
        <v>83563284.013800129</v>
      </c>
      <c r="M12" s="792">
        <f>'Gesamtkosten incl. WBK'!N51</f>
        <v>83228297.440586895</v>
      </c>
      <c r="N12" s="792">
        <f>'Gesamtkosten incl. WBK'!O51</f>
        <v>82804001.997677281</v>
      </c>
      <c r="O12" s="792">
        <f>'Gesamtkosten incl. WBK'!P51</f>
        <v>82406007.691480368</v>
      </c>
      <c r="P12" s="792">
        <f>'Gesamtkosten incl. WBK'!Q51</f>
        <v>81955872.656097546</v>
      </c>
      <c r="Q12" s="792">
        <f>'Gesamtkosten incl. WBK'!R51</f>
        <v>81492233.569653243</v>
      </c>
    </row>
    <row r="13" spans="1:17" ht="27.6" customHeight="1" x14ac:dyDescent="0.25">
      <c r="A13" s="789" t="s">
        <v>699</v>
      </c>
      <c r="B13" s="792">
        <f>'Gesamtkosten periodenbezogen'!D21+'Gesamtkosten periodenbezogen'!D47</f>
        <v>150476825</v>
      </c>
      <c r="C13" s="792">
        <f>'Gesamtkosten periodenbezogen'!E21+'Gesamtkosten periodenbezogen'!E47</f>
        <v>59973717.289456964</v>
      </c>
      <c r="D13" s="792">
        <f>'Gesamtkosten periodenbezogen'!F21+'Gesamtkosten periodenbezogen'!F47</f>
        <v>59973717.282837838</v>
      </c>
      <c r="E13" s="792">
        <f>'Gesamtkosten periodenbezogen'!G21+'Gesamtkosten periodenbezogen'!G47</f>
        <v>59973717.282837838</v>
      </c>
      <c r="F13" s="792">
        <f>'Gesamtkosten periodenbezogen'!H21+'Gesamtkosten periodenbezogen'!H47</f>
        <v>61274717.282837838</v>
      </c>
      <c r="G13" s="792">
        <f>'Gesamtkosten periodenbezogen'!I21+'Gesamtkosten periodenbezogen'!I47</f>
        <v>59973717.282837838</v>
      </c>
      <c r="H13" s="792">
        <f>'Gesamtkosten periodenbezogen'!J21+'Gesamtkosten periodenbezogen'!J47</f>
        <v>62538742.282837838</v>
      </c>
      <c r="I13" s="792">
        <f>'Gesamtkosten periodenbezogen'!K21+'Gesamtkosten periodenbezogen'!K47</f>
        <v>61274717.282837838</v>
      </c>
      <c r="J13" s="792">
        <f>'Gesamtkosten periodenbezogen'!L21+'Gesamtkosten periodenbezogen'!L47</f>
        <v>59973717.282837838</v>
      </c>
      <c r="K13" s="792">
        <f>'Gesamtkosten periodenbezogen'!M21+'Gesamtkosten periodenbezogen'!M47</f>
        <v>59973717.282837838</v>
      </c>
      <c r="L13" s="792">
        <f>'Gesamtkosten periodenbezogen'!N21+'Gesamtkosten periodenbezogen'!N47</f>
        <v>138290017.28283784</v>
      </c>
      <c r="M13" s="792">
        <f>'Gesamtkosten periodenbezogen'!O21+'Gesamtkosten periodenbezogen'!O47</f>
        <v>62538742.282837838</v>
      </c>
      <c r="N13" s="792">
        <f>'Gesamtkosten periodenbezogen'!P21+'Gesamtkosten periodenbezogen'!P47</f>
        <v>59973717.282837838</v>
      </c>
      <c r="O13" s="792">
        <f>'Gesamtkosten periodenbezogen'!Q21+'Gesamtkosten periodenbezogen'!Q47</f>
        <v>61274717.282837838</v>
      </c>
      <c r="P13" s="792">
        <f>'Gesamtkosten periodenbezogen'!R21+'Gesamtkosten periodenbezogen'!R47</f>
        <v>59973717.282837838</v>
      </c>
      <c r="Q13" s="792">
        <f>'Gesamtkosten periodenbezogen'!S21+'Gesamtkosten periodenbezogen'!S47</f>
        <v>59973717.282837838</v>
      </c>
    </row>
    <row r="14" spans="1:17" x14ac:dyDescent="0.25">
      <c r="A14" s="789" t="s">
        <v>444</v>
      </c>
      <c r="B14" s="792"/>
      <c r="C14" s="792">
        <f>'Kostenvergleich Betriebskosten'!C8</f>
        <v>108997561.30000001</v>
      </c>
      <c r="D14" s="792">
        <f>'Kostenvergleich Betriebskosten'!D8</f>
        <v>108997561.30000001</v>
      </c>
      <c r="E14" s="792">
        <f>'Kostenvergleich Betriebskosten'!E8</f>
        <v>108997561.30000001</v>
      </c>
      <c r="F14" s="792">
        <f>'Kostenvergleich Betriebskosten'!F8</f>
        <v>108997561.30000001</v>
      </c>
      <c r="G14" s="792">
        <f>'Kostenvergleich Betriebskosten'!G8</f>
        <v>108997561.30000001</v>
      </c>
      <c r="H14" s="792">
        <f>'Kostenvergleich Betriebskosten'!H8</f>
        <v>108997561.30000001</v>
      </c>
      <c r="I14" s="792">
        <f>'Kostenvergleich Betriebskosten'!I8</f>
        <v>108997561.30000001</v>
      </c>
      <c r="J14" s="792">
        <f>'Kostenvergleich Betriebskosten'!J8</f>
        <v>108997561.30000001</v>
      </c>
      <c r="K14" s="792">
        <f>'Kostenvergleich Betriebskosten'!K8</f>
        <v>108997561.30000001</v>
      </c>
      <c r="L14" s="792">
        <f>'Kostenvergleich Betriebskosten'!L8</f>
        <v>108997561.30000001</v>
      </c>
      <c r="M14" s="792">
        <f>'Kostenvergleich Betriebskosten'!M8</f>
        <v>108997561.30000001</v>
      </c>
      <c r="N14" s="792">
        <f>'Kostenvergleich Betriebskosten'!N8</f>
        <v>108997561.30000001</v>
      </c>
      <c r="O14" s="792">
        <f>'Kostenvergleich Betriebskosten'!O8</f>
        <v>108997561.30000001</v>
      </c>
      <c r="P14" s="792">
        <f>'Kostenvergleich Betriebskosten'!P8</f>
        <v>108997561.30000001</v>
      </c>
      <c r="Q14" s="792">
        <f>'Kostenvergleich Betriebskosten'!Q8</f>
        <v>108997561.30000001</v>
      </c>
    </row>
    <row r="15" spans="1:17" ht="30" x14ac:dyDescent="0.25">
      <c r="A15" s="793" t="s">
        <v>725</v>
      </c>
      <c r="B15" s="794">
        <f>-B13</f>
        <v>-150476825</v>
      </c>
      <c r="C15" s="794">
        <f>B15+(C14-C13)</f>
        <v>-101452980.98945695</v>
      </c>
      <c r="D15" s="794">
        <f t="shared" ref="D15:Q15" si="0">C15+(D14-D13)</f>
        <v>-52429136.972294778</v>
      </c>
      <c r="E15" s="794">
        <f t="shared" si="0"/>
        <v>-3405292.9551326036</v>
      </c>
      <c r="F15" s="794">
        <f t="shared" si="0"/>
        <v>44317551.06202957</v>
      </c>
      <c r="G15" s="794">
        <f t="shared" si="0"/>
        <v>93341395.079191744</v>
      </c>
      <c r="H15" s="794">
        <f t="shared" si="0"/>
        <v>139800214.09635392</v>
      </c>
      <c r="I15" s="794">
        <f t="shared" si="0"/>
        <v>187523058.11351609</v>
      </c>
      <c r="J15" s="794">
        <f t="shared" si="0"/>
        <v>236546902.13067827</v>
      </c>
      <c r="K15" s="794">
        <f t="shared" si="0"/>
        <v>285570746.14784044</v>
      </c>
      <c r="L15" s="794">
        <f t="shared" si="0"/>
        <v>256278290.16500261</v>
      </c>
      <c r="M15" s="794">
        <f t="shared" si="0"/>
        <v>302737109.18216479</v>
      </c>
      <c r="N15" s="794">
        <f t="shared" si="0"/>
        <v>351760953.19932699</v>
      </c>
      <c r="O15" s="794">
        <f t="shared" si="0"/>
        <v>399483797.2164892</v>
      </c>
      <c r="P15" s="794">
        <f t="shared" si="0"/>
        <v>448507641.2336514</v>
      </c>
      <c r="Q15" s="794">
        <f t="shared" si="0"/>
        <v>497531485.2508136</v>
      </c>
    </row>
    <row r="16" spans="1:17" x14ac:dyDescent="0.25">
      <c r="A16" s="789" t="s">
        <v>698</v>
      </c>
      <c r="B16" s="794">
        <f>'Kostenvergleich Betriebskosten'!B16</f>
        <v>-42338159.482000001</v>
      </c>
      <c r="C16" s="794">
        <f>'Kostenvergleich Betriebskosten'!C16</f>
        <v>-14605135.789980063</v>
      </c>
      <c r="D16" s="794">
        <f>'Kostenvergleich Betriebskosten'!D16</f>
        <v>11122896.652588075</v>
      </c>
      <c r="E16" s="794">
        <f>'Kostenvergleich Betriebskosten'!E16</f>
        <v>36101568.926926069</v>
      </c>
      <c r="F16" s="794">
        <f>'Kostenvergleich Betriebskosten'!F16</f>
        <v>60319039.436496794</v>
      </c>
      <c r="G16" s="794">
        <f>'Kostenvergleich Betriebskosten'!G16</f>
        <v>83831146.727342159</v>
      </c>
      <c r="H16" s="794">
        <f>'Kostenvergleich Betriebskosten'!H16</f>
        <v>106595867.35761437</v>
      </c>
      <c r="I16" s="794">
        <f>'Kostenvergleich Betriebskosten'!I16</f>
        <v>128666727.23002647</v>
      </c>
      <c r="J16" s="794">
        <f>'Kostenvergleich Betriebskosten'!J16</f>
        <v>150094746.52363047</v>
      </c>
      <c r="K16" s="794">
        <f>'Kostenvergleich Betriebskosten'!K16</f>
        <v>170898648.75043046</v>
      </c>
      <c r="L16" s="794">
        <f>'Kostenvergleich Betriebskosten'!L16</f>
        <v>189399291.23468599</v>
      </c>
      <c r="M16" s="794">
        <f>'Kostenvergleich Betriebskosten'!M16</f>
        <v>207307108.3465358</v>
      </c>
      <c r="N16" s="794">
        <f>'Kostenvergleich Betriebskosten'!N16</f>
        <v>224693338.55221519</v>
      </c>
      <c r="O16" s="794">
        <f>'Kostenvergleich Betriebskosten'!O16</f>
        <v>241547370.27539918</v>
      </c>
      <c r="P16" s="794">
        <f>'Kostenvergleich Betriebskosten'!P16</f>
        <v>257910507.8707234</v>
      </c>
      <c r="Q16" s="794">
        <f>'Kostenvergleich Betriebskosten'!Q16</f>
        <v>273797049.22540712</v>
      </c>
    </row>
    <row r="17" spans="1:17" x14ac:dyDescent="0.25">
      <c r="A17" s="789"/>
      <c r="B17" s="794"/>
      <c r="C17" s="794"/>
      <c r="D17" s="794"/>
      <c r="E17" s="794"/>
      <c r="F17" s="794"/>
      <c r="G17" s="794"/>
      <c r="H17" s="794"/>
      <c r="I17" s="794"/>
      <c r="J17" s="794"/>
      <c r="K17" s="794"/>
      <c r="L17" s="794"/>
      <c r="M17" s="794"/>
      <c r="N17" s="794"/>
      <c r="O17" s="794"/>
      <c r="P17" s="794"/>
      <c r="Q17" s="794"/>
    </row>
    <row r="18" spans="1:17" x14ac:dyDescent="0.25">
      <c r="B18" s="513"/>
      <c r="C18" s="513"/>
    </row>
    <row r="19" spans="1:17" x14ac:dyDescent="0.25">
      <c r="B19" s="513"/>
      <c r="C19" s="513"/>
    </row>
    <row r="20" spans="1:17" x14ac:dyDescent="0.25">
      <c r="B20" s="513"/>
      <c r="C20" s="513"/>
    </row>
    <row r="21" spans="1:17" x14ac:dyDescent="0.25">
      <c r="B21" s="513"/>
      <c r="C21" s="513"/>
    </row>
    <row r="22" spans="1:17" x14ac:dyDescent="0.25">
      <c r="B22" s="513"/>
      <c r="C22" s="513"/>
    </row>
    <row r="23" spans="1:17" x14ac:dyDescent="0.25">
      <c r="B23" s="513"/>
      <c r="C23" s="513"/>
    </row>
    <row r="24" spans="1:17" x14ac:dyDescent="0.25">
      <c r="B24" s="513"/>
      <c r="C24" s="513"/>
    </row>
    <row r="25" spans="1:17" x14ac:dyDescent="0.25">
      <c r="B25" s="513"/>
      <c r="C25" s="513"/>
    </row>
    <row r="26" spans="1:17" x14ac:dyDescent="0.25">
      <c r="B26" s="513"/>
      <c r="C26" s="513"/>
    </row>
    <row r="27" spans="1:17" x14ac:dyDescent="0.25">
      <c r="B27" s="513"/>
      <c r="C27" s="513"/>
    </row>
  </sheetData>
  <sheetProtection password="DF02" sheet="1" objects="1" scenarios="1"/>
  <printOptions horizontalCentered="1" verticalCentered="1"/>
  <pageMargins left="0.70866141732283472" right="0.70866141732283472" top="0.98425196850393704" bottom="0.78740157480314965" header="0.31496062992125984" footer="0.31496062992125984"/>
  <pageSetup paperSize="8" scale="73" orientation="landscape" r:id="rId1"/>
  <headerFooter>
    <oddHeader>&amp;C&amp;"Arial,Fett"&amp;16Machbarkeitsstudie EFM-3
- VERTRAULICH! -&amp;R&amp;G</oddHeader>
    <oddFooter>&amp;L&amp;"Arial,Standard"&amp;F
&amp;A
&amp;D
© BLIC / KCW&amp;C&amp;"Arial,Standard"&amp;P / &amp;N&amp;R&amp;G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99FF99"/>
    <pageSetUpPr fitToPage="1"/>
  </sheetPr>
  <dimension ref="A1:R104"/>
  <sheetViews>
    <sheetView zoomScale="85" zoomScaleNormal="85" zoomScaleSheetLayoutView="85" workbookViewId="0"/>
  </sheetViews>
  <sheetFormatPr baseColWidth="10" defaultColWidth="11.42578125" defaultRowHeight="14.25" x14ac:dyDescent="0.2"/>
  <cols>
    <col min="1" max="1" width="5.7109375" style="141" customWidth="1"/>
    <col min="2" max="2" width="43" style="141" customWidth="1"/>
    <col min="3" max="3" width="21.5703125" style="141" customWidth="1"/>
    <col min="4" max="4" width="20.42578125" style="141" customWidth="1"/>
    <col min="5" max="5" width="1.140625" style="141" customWidth="1"/>
    <col min="6" max="7" width="20.42578125" style="141" customWidth="1"/>
    <col min="8" max="8" width="22.42578125" style="141" customWidth="1"/>
    <col min="9" max="9" width="20.42578125" style="141" customWidth="1"/>
    <col min="10" max="10" width="5.7109375" style="141" customWidth="1"/>
    <col min="11" max="11" width="12.140625" style="141" customWidth="1"/>
    <col min="12" max="12" width="16" style="141" customWidth="1"/>
    <col min="13" max="13" width="12.42578125" style="141" customWidth="1"/>
    <col min="14" max="14" width="17.28515625" style="141" customWidth="1"/>
    <col min="15" max="15" width="24.42578125" style="141" customWidth="1"/>
    <col min="16" max="17" width="14.7109375" style="141" customWidth="1"/>
    <col min="18" max="16384" width="11.42578125" style="141"/>
  </cols>
  <sheetData>
    <row r="1" spans="1:16" ht="15" thickBot="1" x14ac:dyDescent="0.25"/>
    <row r="2" spans="1:16" ht="44.45" customHeight="1" thickBot="1" x14ac:dyDescent="0.3">
      <c r="B2" s="142" t="s">
        <v>646</v>
      </c>
      <c r="C2" s="143"/>
      <c r="D2" s="144" t="s">
        <v>428</v>
      </c>
      <c r="E2" s="144"/>
      <c r="F2" s="145" t="s">
        <v>123</v>
      </c>
      <c r="G2" s="146" t="s">
        <v>644</v>
      </c>
      <c r="H2" s="146" t="s">
        <v>645</v>
      </c>
      <c r="I2" s="146" t="s">
        <v>427</v>
      </c>
      <c r="J2" s="147"/>
    </row>
    <row r="3" spans="1:16" ht="15.75" thickBot="1" x14ac:dyDescent="0.25">
      <c r="A3" s="148"/>
      <c r="B3" s="149" t="s">
        <v>47</v>
      </c>
      <c r="C3" s="145" t="s">
        <v>411</v>
      </c>
      <c r="D3" s="150"/>
      <c r="E3" s="150"/>
      <c r="F3" s="151"/>
      <c r="G3" s="152"/>
      <c r="H3" s="152"/>
      <c r="I3" s="152"/>
      <c r="J3" s="148"/>
      <c r="P3" s="153"/>
    </row>
    <row r="4" spans="1:16" s="148" customFormat="1" ht="15" x14ac:dyDescent="0.2">
      <c r="A4" s="141"/>
      <c r="B4" s="154" t="s">
        <v>435</v>
      </c>
      <c r="C4" s="814">
        <v>1600000</v>
      </c>
      <c r="D4" s="155">
        <v>1</v>
      </c>
      <c r="E4" s="155"/>
      <c r="F4" s="156">
        <f>C4</f>
        <v>1600000</v>
      </c>
      <c r="G4" s="157">
        <f>'Kosten Systemaufbau'!L8</f>
        <v>1600000</v>
      </c>
      <c r="H4" s="157">
        <f>'Gesamtkosten incl. WBK'!D6</f>
        <v>88888.888888888891</v>
      </c>
      <c r="I4" s="158"/>
      <c r="J4" s="141"/>
      <c r="K4" s="141"/>
      <c r="L4" s="141"/>
      <c r="M4" s="141"/>
      <c r="N4" s="141"/>
      <c r="P4" s="159"/>
    </row>
    <row r="5" spans="1:16" x14ac:dyDescent="0.2">
      <c r="B5" s="160" t="s">
        <v>324</v>
      </c>
      <c r="C5" s="815">
        <v>9930000</v>
      </c>
      <c r="D5" s="161">
        <v>1</v>
      </c>
      <c r="E5" s="161"/>
      <c r="F5" s="162">
        <f>C5</f>
        <v>9930000</v>
      </c>
      <c r="G5" s="163">
        <f>'Kosten Systemaufbau'!L21</f>
        <v>9930000</v>
      </c>
      <c r="H5" s="163">
        <f>'Gesamtkosten incl. WBK'!D19</f>
        <v>551666.66666666663</v>
      </c>
      <c r="I5" s="158"/>
      <c r="P5" s="153"/>
    </row>
    <row r="6" spans="1:16" x14ac:dyDescent="0.2">
      <c r="B6" s="160" t="s">
        <v>325</v>
      </c>
      <c r="C6" s="815">
        <v>9840000</v>
      </c>
      <c r="D6" s="161">
        <v>1</v>
      </c>
      <c r="E6" s="161"/>
      <c r="F6" s="162">
        <f>C6</f>
        <v>9840000</v>
      </c>
      <c r="G6" s="163">
        <f>'Kosten Systemaufbau'!L22</f>
        <v>9840000</v>
      </c>
      <c r="H6" s="163">
        <f>'Gesamtkosten incl. WBK'!D20</f>
        <v>546666.66666666663</v>
      </c>
      <c r="I6" s="164"/>
      <c r="P6" s="153"/>
    </row>
    <row r="7" spans="1:16" x14ac:dyDescent="0.2">
      <c r="B7" s="160" t="s">
        <v>436</v>
      </c>
      <c r="C7" s="815">
        <v>1710000</v>
      </c>
      <c r="D7" s="161">
        <v>1</v>
      </c>
      <c r="E7" s="161"/>
      <c r="F7" s="165"/>
      <c r="G7" s="166"/>
      <c r="H7" s="166"/>
      <c r="I7" s="163">
        <f>'Kosten Systembetrieb'!K7</f>
        <v>1710000</v>
      </c>
      <c r="P7" s="153"/>
    </row>
    <row r="8" spans="1:16" x14ac:dyDescent="0.2">
      <c r="B8" s="160" t="s">
        <v>55</v>
      </c>
      <c r="C8" s="815">
        <v>1410000</v>
      </c>
      <c r="D8" s="161">
        <v>1</v>
      </c>
      <c r="E8" s="161"/>
      <c r="F8" s="158"/>
      <c r="G8" s="167"/>
      <c r="H8" s="167"/>
      <c r="I8" s="163">
        <f>'Kosten Systembetrieb'!K20</f>
        <v>1410000</v>
      </c>
      <c r="P8" s="153"/>
    </row>
    <row r="9" spans="1:16" x14ac:dyDescent="0.2">
      <c r="B9" s="160" t="s">
        <v>56</v>
      </c>
      <c r="C9" s="815">
        <v>2260000</v>
      </c>
      <c r="D9" s="161">
        <v>1</v>
      </c>
      <c r="E9" s="161"/>
      <c r="F9" s="164"/>
      <c r="G9" s="168"/>
      <c r="H9" s="168"/>
      <c r="I9" s="163">
        <f>'Kosten Systembetrieb'!K21</f>
        <v>2260000</v>
      </c>
      <c r="P9" s="153"/>
    </row>
    <row r="10" spans="1:16" ht="15.75" thickBot="1" x14ac:dyDescent="0.3">
      <c r="B10" s="169" t="s">
        <v>26</v>
      </c>
      <c r="C10" s="170"/>
      <c r="D10" s="171"/>
      <c r="E10" s="171"/>
      <c r="F10" s="172">
        <f>SUM(F4:F6)</f>
        <v>21370000</v>
      </c>
      <c r="G10" s="173">
        <f>SUM(G4:G6)</f>
        <v>21370000</v>
      </c>
      <c r="H10" s="173">
        <f>SUM(H4:H6)</f>
        <v>1187222.222222222</v>
      </c>
      <c r="I10" s="173">
        <f>SUM(I7:I9)</f>
        <v>5380000</v>
      </c>
      <c r="P10" s="153"/>
    </row>
    <row r="11" spans="1:16" ht="16.5" thickBot="1" x14ac:dyDescent="0.3">
      <c r="B11" s="174" t="s">
        <v>331</v>
      </c>
      <c r="C11" s="175"/>
      <c r="D11" s="176"/>
      <c r="E11" s="176"/>
      <c r="F11" s="177"/>
      <c r="G11" s="178"/>
      <c r="H11" s="178"/>
      <c r="I11" s="178"/>
      <c r="P11" s="153"/>
    </row>
    <row r="12" spans="1:16" ht="30" x14ac:dyDescent="0.2">
      <c r="B12" s="179" t="s">
        <v>470</v>
      </c>
      <c r="C12" s="180" t="s">
        <v>407</v>
      </c>
      <c r="D12" s="181"/>
      <c r="E12" s="182"/>
      <c r="F12" s="183"/>
      <c r="G12" s="184"/>
      <c r="H12" s="184"/>
      <c r="I12" s="184"/>
      <c r="P12" s="153"/>
    </row>
    <row r="13" spans="1:16" x14ac:dyDescent="0.2">
      <c r="B13" s="160" t="s">
        <v>333</v>
      </c>
      <c r="C13" s="816">
        <v>1445</v>
      </c>
      <c r="D13" s="185"/>
      <c r="E13" s="186"/>
      <c r="F13" s="185"/>
      <c r="G13" s="186"/>
      <c r="H13" s="186"/>
      <c r="I13" s="185"/>
      <c r="P13" s="153"/>
    </row>
    <row r="14" spans="1:16" x14ac:dyDescent="0.2">
      <c r="B14" s="160" t="s">
        <v>334</v>
      </c>
      <c r="C14" s="816">
        <v>2299</v>
      </c>
      <c r="D14" s="185"/>
      <c r="E14" s="186"/>
      <c r="F14" s="185"/>
      <c r="G14" s="186"/>
      <c r="H14" s="186"/>
      <c r="I14" s="185"/>
      <c r="P14" s="153"/>
    </row>
    <row r="15" spans="1:16" x14ac:dyDescent="0.2">
      <c r="B15" s="160" t="s">
        <v>349</v>
      </c>
      <c r="C15" s="816">
        <v>27</v>
      </c>
      <c r="D15" s="185"/>
      <c r="E15" s="186"/>
      <c r="F15" s="185"/>
      <c r="G15" s="186"/>
      <c r="H15" s="186"/>
      <c r="I15" s="185"/>
      <c r="P15" s="153"/>
    </row>
    <row r="16" spans="1:16" x14ac:dyDescent="0.2">
      <c r="B16" s="160" t="s">
        <v>335</v>
      </c>
      <c r="C16" s="816">
        <v>4</v>
      </c>
      <c r="D16" s="187"/>
      <c r="E16" s="188"/>
      <c r="F16" s="187"/>
      <c r="G16" s="188"/>
      <c r="H16" s="188"/>
      <c r="I16" s="187"/>
      <c r="P16" s="153"/>
    </row>
    <row r="17" spans="2:18" x14ac:dyDescent="0.2">
      <c r="B17" s="189" t="s">
        <v>648</v>
      </c>
      <c r="C17" s="190"/>
      <c r="D17" s="161">
        <f>Eingabeparameter!F97</f>
        <v>14153</v>
      </c>
      <c r="E17" s="161"/>
      <c r="F17" s="162">
        <f>SUM((Eingabeparameter!E97*Eingabeparameter!E8)+(Eingabeparameter!F97-Eingabeparameter!E97)*Eingabeparameter!E9)</f>
        <v>19814200</v>
      </c>
      <c r="G17" s="163">
        <f>SUM((Eingabeparameter!E97*Eingabeparameter!E8*(1-Eingabeparameter!G8))+(Eingabeparameter!F97-Eingabeparameter!E97)*(1-Eingabeparameter!G9)*Eingabeparameter!E9)</f>
        <v>19814200</v>
      </c>
      <c r="H17" s="163">
        <f>SUM((Eingabeparameter!E97*Eingabeparameter!E8)/Eingabeparameter!F8+(Eingabeparameter!F97-Eingabeparameter!E97)*Eingabeparameter!E9/Eingabeparameter!F9)</f>
        <v>2201577.777777778</v>
      </c>
      <c r="I17" s="163">
        <f>'Kosten Systembetrieb'!K9/'Kosten Systembetrieb'!E9*D17</f>
        <v>5307375</v>
      </c>
      <c r="P17" s="153"/>
    </row>
    <row r="18" spans="2:18" ht="30" x14ac:dyDescent="0.2">
      <c r="B18" s="191" t="s">
        <v>647</v>
      </c>
      <c r="C18" s="192" t="s">
        <v>407</v>
      </c>
      <c r="D18" s="193"/>
      <c r="E18" s="193"/>
      <c r="F18" s="194"/>
      <c r="G18" s="195"/>
      <c r="H18" s="195"/>
      <c r="I18" s="195"/>
      <c r="P18" s="153"/>
    </row>
    <row r="19" spans="2:18" x14ac:dyDescent="0.2">
      <c r="B19" s="196" t="s">
        <v>333</v>
      </c>
      <c r="C19" s="816">
        <v>50</v>
      </c>
      <c r="D19" s="186"/>
      <c r="E19" s="186"/>
      <c r="F19" s="185"/>
      <c r="G19" s="186"/>
      <c r="H19" s="186"/>
      <c r="I19" s="185"/>
      <c r="P19" s="153"/>
    </row>
    <row r="20" spans="2:18" x14ac:dyDescent="0.2">
      <c r="B20" s="160" t="s">
        <v>336</v>
      </c>
      <c r="C20" s="816">
        <v>102</v>
      </c>
      <c r="D20" s="186"/>
      <c r="E20" s="186"/>
      <c r="F20" s="185"/>
      <c r="G20" s="186"/>
      <c r="H20" s="186"/>
      <c r="I20" s="185"/>
      <c r="J20" s="197"/>
      <c r="P20" s="153"/>
    </row>
    <row r="21" spans="2:18" x14ac:dyDescent="0.2">
      <c r="B21" s="160" t="s">
        <v>337</v>
      </c>
      <c r="C21" s="816">
        <v>29</v>
      </c>
      <c r="D21" s="186"/>
      <c r="E21" s="186"/>
      <c r="F21" s="185"/>
      <c r="G21" s="186"/>
      <c r="H21" s="186"/>
      <c r="I21" s="185"/>
    </row>
    <row r="22" spans="2:18" x14ac:dyDescent="0.2">
      <c r="B22" s="160" t="s">
        <v>338</v>
      </c>
      <c r="C22" s="816">
        <v>170</v>
      </c>
      <c r="D22" s="186"/>
      <c r="E22" s="186"/>
      <c r="F22" s="185"/>
      <c r="G22" s="186"/>
      <c r="H22" s="186"/>
      <c r="I22" s="185"/>
      <c r="R22" s="153"/>
    </row>
    <row r="23" spans="2:18" x14ac:dyDescent="0.2">
      <c r="B23" s="160" t="s">
        <v>339</v>
      </c>
      <c r="C23" s="816">
        <v>378</v>
      </c>
      <c r="D23" s="186"/>
      <c r="E23" s="186"/>
      <c r="F23" s="185"/>
      <c r="G23" s="186"/>
      <c r="H23" s="186"/>
      <c r="I23" s="185"/>
      <c r="R23" s="153"/>
    </row>
    <row r="24" spans="2:18" x14ac:dyDescent="0.2">
      <c r="B24" s="160" t="s">
        <v>340</v>
      </c>
      <c r="C24" s="816">
        <v>221</v>
      </c>
      <c r="D24" s="188"/>
      <c r="E24" s="188"/>
      <c r="F24" s="187"/>
      <c r="G24" s="188"/>
      <c r="H24" s="188"/>
      <c r="I24" s="187"/>
      <c r="R24" s="153"/>
    </row>
    <row r="25" spans="2:18" ht="15.75" thickBot="1" x14ac:dyDescent="0.3">
      <c r="B25" s="198" t="s">
        <v>649</v>
      </c>
      <c r="C25" s="170"/>
      <c r="D25" s="171">
        <f>Eingabeparameter!F105</f>
        <v>12964</v>
      </c>
      <c r="E25" s="171"/>
      <c r="F25" s="172">
        <f>SUM((Eingabeparameter!E105*Eingabeparameter!E8)+(Eingabeparameter!F105-Eingabeparameter!E105)*Eingabeparameter!E9)</f>
        <v>18149600</v>
      </c>
      <c r="G25" s="173">
        <f>SUM((Eingabeparameter!E105*Eingabeparameter!E8*(1-Eingabeparameter!G8))+(Eingabeparameter!F105-Eingabeparameter!E105)*(1-Eingabeparameter!G9)*Eingabeparameter!E9)</f>
        <v>18149600</v>
      </c>
      <c r="H25" s="173">
        <f>SUM((Eingabeparameter!E105*Eingabeparameter!E8)/Eingabeparameter!F8+(Eingabeparameter!F105-Eingabeparameter!E105)*Eingabeparameter!E9/Eingabeparameter!F9)</f>
        <v>2016622.2222222222</v>
      </c>
      <c r="I25" s="173">
        <f>'Kosten Systembetrieb'!K9/'Kosten Systembetrieb'!E9*D25</f>
        <v>4861500</v>
      </c>
      <c r="R25" s="153"/>
    </row>
    <row r="26" spans="2:18" ht="16.5" thickBot="1" x14ac:dyDescent="0.3">
      <c r="B26" s="174" t="s">
        <v>350</v>
      </c>
      <c r="C26" s="175"/>
      <c r="D26" s="176"/>
      <c r="E26" s="176"/>
      <c r="F26" s="177"/>
      <c r="G26" s="178"/>
      <c r="H26" s="178"/>
      <c r="I26" s="178"/>
      <c r="J26" s="197"/>
      <c r="R26" s="153"/>
    </row>
    <row r="27" spans="2:18" ht="30" x14ac:dyDescent="0.2">
      <c r="B27" s="199"/>
      <c r="C27" s="832" t="s">
        <v>415</v>
      </c>
      <c r="D27" s="182"/>
      <c r="E27" s="182"/>
      <c r="F27" s="200"/>
      <c r="G27" s="201"/>
      <c r="H27" s="201"/>
      <c r="I27" s="201"/>
      <c r="J27" s="197"/>
    </row>
    <row r="28" spans="2:18" x14ac:dyDescent="0.2">
      <c r="B28" s="160" t="s">
        <v>351</v>
      </c>
      <c r="C28" s="816">
        <v>233</v>
      </c>
      <c r="D28" s="186"/>
      <c r="E28" s="186"/>
      <c r="F28" s="185"/>
      <c r="G28" s="186"/>
      <c r="H28" s="186"/>
      <c r="I28" s="185"/>
      <c r="J28" s="197"/>
    </row>
    <row r="29" spans="2:18" x14ac:dyDescent="0.2">
      <c r="B29" s="202" t="s">
        <v>430</v>
      </c>
      <c r="C29" s="817">
        <v>0.1</v>
      </c>
      <c r="D29" s="188"/>
      <c r="E29" s="188"/>
      <c r="F29" s="187"/>
      <c r="G29" s="188"/>
      <c r="H29" s="188"/>
      <c r="I29" s="187"/>
      <c r="J29" s="197"/>
    </row>
    <row r="30" spans="2:18" ht="15" x14ac:dyDescent="0.25">
      <c r="B30" s="203" t="s">
        <v>429</v>
      </c>
      <c r="C30" s="204"/>
      <c r="D30" s="161">
        <f>Eingabeparameter!C5</f>
        <v>559</v>
      </c>
      <c r="E30" s="161"/>
      <c r="F30" s="162">
        <f>D30*Eingabeparameter!E5</f>
        <v>2236000</v>
      </c>
      <c r="G30" s="205">
        <f>F30-F30*Eingabeparameter!G5</f>
        <v>2236000</v>
      </c>
      <c r="H30" s="205">
        <f>F30/Eingabeparameter!F5</f>
        <v>248444.44444444444</v>
      </c>
      <c r="I30" s="205">
        <f>'Kosten Systembetrieb'!K8/'Kosten Systembetrieb'!E8*D30</f>
        <v>357760</v>
      </c>
      <c r="J30" s="153"/>
    </row>
    <row r="31" spans="2:18" x14ac:dyDescent="0.2">
      <c r="B31" s="206" t="s">
        <v>600</v>
      </c>
      <c r="C31" s="818">
        <v>998</v>
      </c>
      <c r="D31" s="186"/>
      <c r="E31" s="186"/>
      <c r="F31" s="185"/>
      <c r="G31" s="186"/>
      <c r="H31" s="186"/>
      <c r="I31" s="185"/>
      <c r="J31" s="153"/>
      <c r="P31" s="153"/>
    </row>
    <row r="32" spans="2:18" ht="15" x14ac:dyDescent="0.2">
      <c r="B32" s="207" t="s">
        <v>430</v>
      </c>
      <c r="C32" s="819">
        <v>0.05</v>
      </c>
      <c r="D32" s="208"/>
      <c r="E32" s="208"/>
      <c r="F32" s="209"/>
      <c r="G32" s="208"/>
      <c r="H32" s="208"/>
      <c r="I32" s="209"/>
      <c r="J32" s="153"/>
    </row>
    <row r="33" spans="2:16" ht="15.75" thickBot="1" x14ac:dyDescent="0.3">
      <c r="B33" s="210" t="s">
        <v>429</v>
      </c>
      <c r="C33" s="211"/>
      <c r="D33" s="171">
        <f>Eingabeparameter!C6</f>
        <v>3244</v>
      </c>
      <c r="E33" s="171"/>
      <c r="F33" s="172">
        <f>D33*Eingabeparameter!E6</f>
        <v>12976000</v>
      </c>
      <c r="G33" s="173">
        <f>F33-F33*Eingabeparameter!G6</f>
        <v>12976000</v>
      </c>
      <c r="H33" s="173">
        <f>F33/Eingabeparameter!F6</f>
        <v>1441777.7777777778</v>
      </c>
      <c r="I33" s="173">
        <f>'Kosten Systembetrieb'!K8/'Kosten Systembetrieb'!E8*D33</f>
        <v>2076160</v>
      </c>
      <c r="J33" s="153"/>
    </row>
    <row r="34" spans="2:16" ht="15" x14ac:dyDescent="0.25">
      <c r="B34" s="212" t="s">
        <v>46</v>
      </c>
      <c r="C34" s="180" t="s">
        <v>119</v>
      </c>
      <c r="D34" s="213"/>
      <c r="E34" s="213"/>
      <c r="F34" s="214"/>
      <c r="G34" s="215"/>
      <c r="H34" s="214"/>
      <c r="I34" s="214"/>
      <c r="J34" s="153"/>
      <c r="P34" s="153"/>
    </row>
    <row r="35" spans="2:16" ht="28.5" x14ac:dyDescent="0.2">
      <c r="B35" s="216" t="s">
        <v>638</v>
      </c>
      <c r="C35" s="820">
        <v>547</v>
      </c>
      <c r="D35" s="217">
        <f t="shared" ref="D35:D40" si="0">C35</f>
        <v>547</v>
      </c>
      <c r="E35" s="217"/>
      <c r="F35" s="162">
        <f>D35*Eingabeparameter!E14</f>
        <v>21606500</v>
      </c>
      <c r="G35" s="162">
        <f>F35-F35*Eingabeparameter!G14</f>
        <v>21606500</v>
      </c>
      <c r="H35" s="162">
        <f>F35/Eingabeparameter!F14</f>
        <v>1440433.3333333333</v>
      </c>
      <c r="I35" s="162">
        <f>'Kosten Systembetrieb'!K13/'Kosten Systembetrieb'!E13*C35</f>
        <v>4310360</v>
      </c>
      <c r="J35" s="153"/>
    </row>
    <row r="36" spans="2:16" ht="28.5" x14ac:dyDescent="0.2">
      <c r="B36" s="216" t="s">
        <v>639</v>
      </c>
      <c r="C36" s="820">
        <v>522</v>
      </c>
      <c r="D36" s="217">
        <f t="shared" si="0"/>
        <v>522</v>
      </c>
      <c r="E36" s="217"/>
      <c r="F36" s="162">
        <f>D36*Eingabeparameter!E15</f>
        <v>20619000</v>
      </c>
      <c r="G36" s="162">
        <f>F36-F36*Eingabeparameter!G15</f>
        <v>20619000</v>
      </c>
      <c r="H36" s="162">
        <f>F36/Eingabeparameter!F15</f>
        <v>1374600</v>
      </c>
      <c r="I36" s="162">
        <f>'Kosten Systembetrieb'!K13/'Kosten Systembetrieb'!E13*C36</f>
        <v>4113360</v>
      </c>
      <c r="J36" s="197"/>
    </row>
    <row r="37" spans="2:16" x14ac:dyDescent="0.2">
      <c r="B37" s="218" t="s">
        <v>636</v>
      </c>
      <c r="C37" s="821">
        <v>500</v>
      </c>
      <c r="D37" s="217">
        <f t="shared" si="0"/>
        <v>500</v>
      </c>
      <c r="E37" s="217"/>
      <c r="F37" s="162">
        <f>D37*Eingabeparameter!E16</f>
        <v>6000000</v>
      </c>
      <c r="G37" s="162">
        <f>F37-F37*Eingabeparameter!G16</f>
        <v>6000000</v>
      </c>
      <c r="H37" s="162">
        <f>F37/Eingabeparameter!F16</f>
        <v>400000</v>
      </c>
      <c r="I37" s="162">
        <f>'Kosten Systembetrieb'!K14/'Kosten Systembetrieb'!E14*C37</f>
        <v>1250000</v>
      </c>
      <c r="J37" s="197"/>
    </row>
    <row r="38" spans="2:16" x14ac:dyDescent="0.2">
      <c r="B38" s="218" t="s">
        <v>637</v>
      </c>
      <c r="C38" s="816"/>
      <c r="D38" s="217">
        <f t="shared" si="0"/>
        <v>0</v>
      </c>
      <c r="E38" s="217"/>
      <c r="F38" s="162">
        <f>D38*Eingabeparameter!E17</f>
        <v>0</v>
      </c>
      <c r="G38" s="162">
        <f>F38-F38*Eingabeparameter!G17</f>
        <v>0</v>
      </c>
      <c r="H38" s="162">
        <f>F38/Eingabeparameter!F17</f>
        <v>0</v>
      </c>
      <c r="I38" s="162">
        <f>'Kosten Systembetrieb'!K14/'Kosten Systembetrieb'!E14*C38</f>
        <v>0</v>
      </c>
      <c r="J38" s="197"/>
    </row>
    <row r="39" spans="2:16" x14ac:dyDescent="0.2">
      <c r="B39" s="219" t="s">
        <v>314</v>
      </c>
      <c r="C39" s="820">
        <v>458</v>
      </c>
      <c r="D39" s="217">
        <f t="shared" si="0"/>
        <v>458</v>
      </c>
      <c r="E39" s="217"/>
      <c r="F39" s="162">
        <f>'Kosten Systemaufbau'!K16</f>
        <v>6870000</v>
      </c>
      <c r="G39" s="162">
        <f>'Gesamtkosten periodenbezogen'!D14</f>
        <v>6870000</v>
      </c>
      <c r="H39" s="162">
        <f>'Gesamtkosten incl. WBK'!D14</f>
        <v>763333.33333333337</v>
      </c>
      <c r="I39" s="162">
        <f>'Kosten Systembetrieb'!K15</f>
        <v>1145000</v>
      </c>
      <c r="J39" s="197"/>
    </row>
    <row r="40" spans="2:16" x14ac:dyDescent="0.2">
      <c r="B40" s="219" t="s">
        <v>587</v>
      </c>
      <c r="C40" s="220">
        <f>Eingabeparameter!C19</f>
        <v>3771</v>
      </c>
      <c r="D40" s="217">
        <f t="shared" si="0"/>
        <v>3771</v>
      </c>
      <c r="E40" s="217"/>
      <c r="F40" s="162">
        <f>'Kosten Systemaufbau'!K17</f>
        <v>16969500</v>
      </c>
      <c r="G40" s="162">
        <f>'Kosten Systemaufbau'!L17</f>
        <v>16969500</v>
      </c>
      <c r="H40" s="162">
        <f>'Gesamtkosten incl. WBK'!D15</f>
        <v>1885500</v>
      </c>
      <c r="I40" s="162">
        <f>'Kosten Systembetrieb'!K16</f>
        <v>3771000</v>
      </c>
      <c r="J40" s="197"/>
    </row>
    <row r="41" spans="2:16" ht="15.75" thickBot="1" x14ac:dyDescent="0.3">
      <c r="B41" s="198" t="s">
        <v>26</v>
      </c>
      <c r="C41" s="170"/>
      <c r="D41" s="221"/>
      <c r="E41" s="221"/>
      <c r="F41" s="222">
        <f>SUM(F35:F40)</f>
        <v>72065000</v>
      </c>
      <c r="G41" s="222">
        <f>SUM(G35:G40)</f>
        <v>72065000</v>
      </c>
      <c r="H41" s="222">
        <f>SUM(H35:H40)</f>
        <v>5863866.666666666</v>
      </c>
      <c r="I41" s="222">
        <f>SUM(I35:I40)</f>
        <v>14589720</v>
      </c>
      <c r="J41" s="197"/>
    </row>
    <row r="42" spans="2:16" ht="15" x14ac:dyDescent="0.25">
      <c r="B42" s="223" t="s">
        <v>431</v>
      </c>
      <c r="C42" s="224" t="s">
        <v>502</v>
      </c>
      <c r="D42" s="225"/>
      <c r="E42" s="225"/>
      <c r="F42" s="226"/>
      <c r="G42" s="226"/>
      <c r="H42" s="226"/>
      <c r="I42" s="226"/>
      <c r="J42" s="197"/>
    </row>
    <row r="43" spans="2:16" ht="28.5" x14ac:dyDescent="0.2">
      <c r="B43" s="219" t="s">
        <v>329</v>
      </c>
      <c r="C43" s="820">
        <v>271</v>
      </c>
      <c r="D43" s="217">
        <f>C43</f>
        <v>271</v>
      </c>
      <c r="E43" s="217"/>
      <c r="F43" s="162">
        <f>'Kosten Systemaufbau'!K18</f>
        <v>338750</v>
      </c>
      <c r="G43" s="162">
        <f>'Gesamtkosten periodenbezogen'!D16</f>
        <v>338750</v>
      </c>
      <c r="H43" s="162">
        <f>'Gesamtkosten incl. WBK'!D16</f>
        <v>112916.66666666667</v>
      </c>
      <c r="I43" s="162">
        <f>'Kosten Systembetrieb'!K17</f>
        <v>108400</v>
      </c>
      <c r="J43" s="197"/>
    </row>
    <row r="44" spans="2:16" ht="28.5" x14ac:dyDescent="0.2">
      <c r="B44" s="227" t="s">
        <v>748</v>
      </c>
      <c r="C44" s="822">
        <v>1283</v>
      </c>
      <c r="D44" s="217">
        <f>C44</f>
        <v>1283</v>
      </c>
      <c r="E44" s="217"/>
      <c r="F44" s="162">
        <f>'Kosten Systemaufbau'!K19</f>
        <v>962250</v>
      </c>
      <c r="G44" s="162">
        <f>'Gesamtkosten periodenbezogen'!D17</f>
        <v>962250</v>
      </c>
      <c r="H44" s="162">
        <f>'Gesamtkosten incl. WBK'!D17</f>
        <v>320750</v>
      </c>
      <c r="I44" s="162">
        <f>'Kosten Systembetrieb'!K18</f>
        <v>211695</v>
      </c>
      <c r="J44" s="197"/>
    </row>
    <row r="45" spans="2:16" ht="15.75" thickBot="1" x14ac:dyDescent="0.3">
      <c r="B45" s="228" t="s">
        <v>26</v>
      </c>
      <c r="C45" s="211"/>
      <c r="D45" s="221">
        <f>SUM(D43:D44)</f>
        <v>1554</v>
      </c>
      <c r="E45" s="221"/>
      <c r="F45" s="222">
        <f>SUM(F43:F44)</f>
        <v>1301000</v>
      </c>
      <c r="G45" s="222">
        <f>SUM(G43:G44)</f>
        <v>1301000</v>
      </c>
      <c r="H45" s="222">
        <f>SUM(H43:H44)</f>
        <v>433666.66666666669</v>
      </c>
      <c r="I45" s="222">
        <f>SUM(I43:I44)</f>
        <v>320095</v>
      </c>
      <c r="J45" s="197"/>
    </row>
    <row r="46" spans="2:16" ht="15" x14ac:dyDescent="0.25">
      <c r="B46" s="212" t="s">
        <v>330</v>
      </c>
      <c r="C46" s="180" t="s">
        <v>620</v>
      </c>
      <c r="D46" s="229"/>
      <c r="E46" s="229"/>
      <c r="F46" s="214"/>
      <c r="G46" s="230"/>
      <c r="H46" s="230"/>
      <c r="I46" s="230"/>
      <c r="J46" s="197"/>
    </row>
    <row r="47" spans="2:16" x14ac:dyDescent="0.2">
      <c r="B47" s="231" t="s">
        <v>734</v>
      </c>
      <c r="C47" s="232"/>
      <c r="D47" s="171"/>
      <c r="E47" s="171"/>
      <c r="F47" s="233"/>
      <c r="G47" s="234"/>
      <c r="H47" s="234"/>
      <c r="I47" s="173">
        <f>C43*('Kosten Kundencenter'!G48/'Kosten Kundencenter'!F40)</f>
        <v>19057067.282837838</v>
      </c>
      <c r="J47" s="197"/>
    </row>
    <row r="48" spans="2:16" ht="15" thickBot="1" x14ac:dyDescent="0.25">
      <c r="B48" s="231" t="s">
        <v>735</v>
      </c>
      <c r="C48" s="823">
        <v>0.03</v>
      </c>
      <c r="D48" s="171"/>
      <c r="E48" s="171"/>
      <c r="F48" s="233"/>
      <c r="G48" s="234"/>
      <c r="H48" s="234"/>
      <c r="I48" s="173">
        <f>'Kosten Kundencenter'!J36</f>
        <v>4041450</v>
      </c>
      <c r="J48" s="197"/>
    </row>
    <row r="49" spans="2:11" ht="15.75" x14ac:dyDescent="0.25">
      <c r="B49" s="235" t="s">
        <v>45</v>
      </c>
      <c r="C49" s="224" t="s">
        <v>119</v>
      </c>
      <c r="D49" s="236"/>
      <c r="E49" s="236"/>
      <c r="F49" s="237"/>
      <c r="G49" s="238"/>
      <c r="H49" s="238"/>
      <c r="I49" s="238"/>
      <c r="J49" s="197"/>
    </row>
    <row r="50" spans="2:11" x14ac:dyDescent="0.2">
      <c r="B50" s="160" t="s">
        <v>433</v>
      </c>
      <c r="C50" s="804">
        <v>1569</v>
      </c>
      <c r="D50" s="161">
        <f>C50</f>
        <v>1569</v>
      </c>
      <c r="E50" s="161"/>
      <c r="F50" s="162">
        <f>'Kosten Systemaufbau'!K12</f>
        <v>1569000</v>
      </c>
      <c r="G50" s="205">
        <f>'Gesamtkosten periodenbezogen'!D10</f>
        <v>1569000</v>
      </c>
      <c r="H50" s="205">
        <f>'Gesamtkosten incl. WBK'!D10</f>
        <v>313800</v>
      </c>
      <c r="I50" s="205">
        <f>'Kosten Systembetrieb'!K11</f>
        <v>1113990</v>
      </c>
      <c r="J50" s="197"/>
    </row>
    <row r="51" spans="2:11" x14ac:dyDescent="0.2">
      <c r="B51" s="239" t="s">
        <v>432</v>
      </c>
      <c r="C51" s="804">
        <v>0</v>
      </c>
      <c r="D51" s="161">
        <f>C51</f>
        <v>0</v>
      </c>
      <c r="E51" s="161"/>
      <c r="F51" s="162">
        <f>'Kosten Systemaufbau'!K13</f>
        <v>0</v>
      </c>
      <c r="G51" s="205">
        <f>'Gesamtkosten periodenbezogen'!D11</f>
        <v>0</v>
      </c>
      <c r="H51" s="205">
        <f>'Gesamtkosten incl. WBK'!D11</f>
        <v>0</v>
      </c>
      <c r="I51" s="205">
        <f>'Kosten Systembetrieb'!K12</f>
        <v>0</v>
      </c>
      <c r="J51" s="197"/>
    </row>
    <row r="52" spans="2:11" ht="15.75" thickBot="1" x14ac:dyDescent="0.3">
      <c r="B52" s="228" t="s">
        <v>26</v>
      </c>
      <c r="C52" s="211"/>
      <c r="D52" s="221">
        <f>SUM(D50:D51)</f>
        <v>1569</v>
      </c>
      <c r="E52" s="221"/>
      <c r="F52" s="222">
        <f>SUM(F50:F51)</f>
        <v>1569000</v>
      </c>
      <c r="G52" s="222">
        <f>SUM(G50:G51)</f>
        <v>1569000</v>
      </c>
      <c r="H52" s="222">
        <f>SUM(H50:H51)</f>
        <v>313800</v>
      </c>
      <c r="I52" s="222">
        <f>SUM(I50:I51)</f>
        <v>1113990</v>
      </c>
      <c r="J52" s="197"/>
    </row>
    <row r="53" spans="2:11" ht="15" x14ac:dyDescent="0.25">
      <c r="B53" s="235" t="s">
        <v>616</v>
      </c>
      <c r="C53" s="180" t="s">
        <v>119</v>
      </c>
      <c r="D53" s="213"/>
      <c r="E53" s="213"/>
      <c r="F53" s="214"/>
      <c r="G53" s="215"/>
      <c r="H53" s="214"/>
      <c r="I53" s="214"/>
      <c r="J53" s="197"/>
    </row>
    <row r="54" spans="2:11" ht="15" thickBot="1" x14ac:dyDescent="0.25">
      <c r="B54" s="160"/>
      <c r="C54" s="220">
        <f>'Kosten Mobilfunkverträge'!E9</f>
        <v>28686</v>
      </c>
      <c r="D54" s="171">
        <f>C54</f>
        <v>28686</v>
      </c>
      <c r="E54" s="171"/>
      <c r="F54" s="172"/>
      <c r="G54" s="173"/>
      <c r="H54" s="173"/>
      <c r="I54" s="173">
        <f>'Kosten Mobilfunkverträge'!G9</f>
        <v>2868600</v>
      </c>
      <c r="J54" s="197"/>
    </row>
    <row r="55" spans="2:11" ht="15" x14ac:dyDescent="0.25">
      <c r="B55" s="235" t="s">
        <v>417</v>
      </c>
      <c r="C55" s="180" t="s">
        <v>119</v>
      </c>
      <c r="D55" s="213"/>
      <c r="E55" s="213"/>
      <c r="F55" s="214"/>
      <c r="G55" s="215"/>
      <c r="H55" s="214"/>
      <c r="I55" s="214"/>
      <c r="J55" s="153"/>
    </row>
    <row r="56" spans="2:11" ht="15" thickBot="1" x14ac:dyDescent="0.25">
      <c r="B56" s="239" t="s">
        <v>419</v>
      </c>
      <c r="C56" s="240">
        <f>Eingabeparameter!C24</f>
        <v>39841</v>
      </c>
      <c r="D56" s="171">
        <f>C56</f>
        <v>39841</v>
      </c>
      <c r="E56" s="171"/>
      <c r="F56" s="172">
        <f>'Kosten Systemaufbau'!K20</f>
        <v>996025</v>
      </c>
      <c r="G56" s="173">
        <f>'Kosten Systemaufbau'!L20</f>
        <v>996025</v>
      </c>
      <c r="H56" s="173">
        <f>'Gesamtkosten incl. WBK'!D18</f>
        <v>199205</v>
      </c>
      <c r="I56" s="173">
        <f>'Kosten Systembetrieb'!K19</f>
        <v>0</v>
      </c>
      <c r="K56" s="153"/>
    </row>
    <row r="57" spans="2:11" ht="36.6" customHeight="1" thickBot="1" x14ac:dyDescent="0.25">
      <c r="B57" s="241" t="s">
        <v>701</v>
      </c>
      <c r="C57" s="242"/>
      <c r="D57" s="243"/>
      <c r="E57" s="243"/>
      <c r="F57" s="244">
        <f>F10+F17+F25+F30+F33+F35+F36+F37+F38+F39+F40+F45+F52+F56</f>
        <v>150476825</v>
      </c>
      <c r="G57" s="244">
        <f>G10+G17+G25+G30+G33+G35+G36+G37+G38+G39+G40+G45+G52+G56</f>
        <v>150476825</v>
      </c>
      <c r="H57" s="244">
        <f>H10+H17+H25+H30+H33+H35+H36+H37+H38+H39+H40+H45+H52+H56</f>
        <v>13906182.777777778</v>
      </c>
      <c r="I57" s="244">
        <f>I10+I17+I25+I30+I33+I35+I36+I37+I38+I39+I40+I45+I47+I48+I52+I54+I56</f>
        <v>59973717.282837838</v>
      </c>
      <c r="K57" s="153"/>
    </row>
    <row r="58" spans="2:11" ht="15" x14ac:dyDescent="0.25">
      <c r="B58" s="212" t="s">
        <v>368</v>
      </c>
      <c r="C58" s="180" t="s">
        <v>119</v>
      </c>
      <c r="D58" s="181"/>
      <c r="E58" s="182"/>
      <c r="F58" s="183"/>
      <c r="G58" s="184"/>
      <c r="H58" s="184"/>
      <c r="I58" s="184"/>
      <c r="K58" s="153"/>
    </row>
    <row r="59" spans="2:11" x14ac:dyDescent="0.2">
      <c r="B59" s="160" t="s">
        <v>357</v>
      </c>
      <c r="C59" s="824">
        <v>1200000</v>
      </c>
      <c r="D59" s="185"/>
      <c r="E59" s="186"/>
      <c r="F59" s="185"/>
      <c r="G59" s="245"/>
      <c r="H59" s="245"/>
      <c r="I59" s="185"/>
      <c r="K59" s="153"/>
    </row>
    <row r="60" spans="2:11" x14ac:dyDescent="0.2">
      <c r="B60" s="160" t="s">
        <v>358</v>
      </c>
      <c r="C60" s="824">
        <v>1500000</v>
      </c>
      <c r="D60" s="185"/>
      <c r="E60" s="186"/>
      <c r="F60" s="185"/>
      <c r="G60" s="245"/>
      <c r="H60" s="245"/>
      <c r="I60" s="185"/>
    </row>
    <row r="61" spans="2:11" x14ac:dyDescent="0.2">
      <c r="B61" s="160" t="s">
        <v>359</v>
      </c>
      <c r="C61" s="824">
        <v>1650000</v>
      </c>
      <c r="D61" s="187"/>
      <c r="E61" s="188"/>
      <c r="F61" s="187"/>
      <c r="G61" s="246"/>
      <c r="H61" s="246"/>
      <c r="I61" s="187"/>
      <c r="J61" s="197"/>
    </row>
    <row r="62" spans="2:11" ht="15" thickBot="1" x14ac:dyDescent="0.25">
      <c r="B62" s="247" t="s">
        <v>434</v>
      </c>
      <c r="C62" s="248"/>
      <c r="D62" s="155">
        <f>'Kosten für Chipkarten'!F8</f>
        <v>4350000</v>
      </c>
      <c r="E62" s="171"/>
      <c r="F62" s="172">
        <f>'Kosten für Chipkarten'!G11</f>
        <v>16356000</v>
      </c>
      <c r="G62" s="157">
        <f>'Kosten für Chipkarten'!G11</f>
        <v>16356000</v>
      </c>
      <c r="H62" s="157"/>
      <c r="I62" s="173">
        <f>'Kosten für Chipkarten'!I11</f>
        <v>4173600</v>
      </c>
      <c r="K62" s="249"/>
    </row>
    <row r="63" spans="2:11" ht="30" x14ac:dyDescent="0.25">
      <c r="B63" s="212" t="s">
        <v>744</v>
      </c>
      <c r="C63" s="180" t="s">
        <v>413</v>
      </c>
      <c r="D63" s="181"/>
      <c r="E63" s="181"/>
      <c r="F63" s="183"/>
      <c r="G63" s="183"/>
      <c r="H63" s="183"/>
      <c r="I63" s="183"/>
      <c r="K63" s="249"/>
    </row>
    <row r="64" spans="2:11" ht="14.45" customHeight="1" x14ac:dyDescent="0.2">
      <c r="B64" s="160" t="s">
        <v>408</v>
      </c>
      <c r="C64" s="825">
        <v>0</v>
      </c>
      <c r="D64" s="185"/>
      <c r="E64" s="185"/>
      <c r="F64" s="185"/>
      <c r="G64" s="185"/>
      <c r="H64" s="185"/>
      <c r="I64" s="185"/>
      <c r="K64" s="249"/>
    </row>
    <row r="65" spans="2:17" ht="15.75" thickBot="1" x14ac:dyDescent="0.25">
      <c r="B65" s="239" t="s">
        <v>409</v>
      </c>
      <c r="C65" s="826">
        <v>0</v>
      </c>
      <c r="D65" s="185"/>
      <c r="E65" s="185"/>
      <c r="F65" s="185"/>
      <c r="G65" s="185"/>
      <c r="H65" s="185"/>
      <c r="I65" s="185"/>
      <c r="K65" s="250"/>
      <c r="L65" s="250"/>
      <c r="M65" s="250"/>
      <c r="N65" s="251"/>
      <c r="O65" s="249"/>
    </row>
    <row r="66" spans="2:17" ht="17.25" thickTop="1" thickBot="1" x14ac:dyDescent="0.25">
      <c r="B66" s="160" t="s">
        <v>410</v>
      </c>
      <c r="C66" s="825">
        <v>0</v>
      </c>
      <c r="D66" s="185"/>
      <c r="E66" s="187"/>
      <c r="F66" s="187"/>
      <c r="G66" s="187"/>
      <c r="H66" s="187"/>
      <c r="I66" s="187"/>
      <c r="K66" s="894" t="s">
        <v>500</v>
      </c>
      <c r="L66" s="895"/>
      <c r="M66" s="895"/>
      <c r="N66" s="896"/>
      <c r="O66" s="875"/>
      <c r="P66" s="906">
        <f>'Kostenvergleich Betriebskosten'!Q16</f>
        <v>273797049.22540712</v>
      </c>
      <c r="Q66" s="907"/>
    </row>
    <row r="67" spans="2:17" ht="16.5" thickBot="1" x14ac:dyDescent="0.25">
      <c r="B67" s="247" t="s">
        <v>465</v>
      </c>
      <c r="C67" s="248"/>
      <c r="D67" s="252"/>
      <c r="E67" s="253"/>
      <c r="F67" s="222">
        <f>-(C59*C64+C60*C65+C61*C66)</f>
        <v>0</v>
      </c>
      <c r="G67" s="222">
        <f>-(C59*C64+C60*C65+C61*C66)</f>
        <v>0</v>
      </c>
      <c r="H67" s="222"/>
      <c r="I67" s="222">
        <f>-(C59*Eingabeparameter!C41*C64+C60*Eingabeparameter!C42*C65+C61*Eingabeparameter!C43*C66)</f>
        <v>0</v>
      </c>
      <c r="K67" s="897"/>
      <c r="L67" s="898"/>
      <c r="M67" s="898"/>
      <c r="N67" s="899"/>
      <c r="O67" s="876"/>
      <c r="P67" s="908"/>
      <c r="Q67" s="909"/>
    </row>
    <row r="68" spans="2:17" ht="15.75" customHeight="1" thickTop="1" thickBot="1" x14ac:dyDescent="0.3">
      <c r="B68" s="212" t="s">
        <v>652</v>
      </c>
      <c r="C68" s="180"/>
      <c r="D68" s="229"/>
      <c r="E68" s="254"/>
      <c r="F68" s="255"/>
      <c r="G68" s="256"/>
      <c r="H68" s="256"/>
      <c r="I68" s="256"/>
      <c r="K68" s="900" t="s">
        <v>726</v>
      </c>
      <c r="L68" s="901"/>
      <c r="M68" s="901" t="s">
        <v>773</v>
      </c>
      <c r="N68" s="917"/>
      <c r="O68" s="918"/>
      <c r="P68" s="910">
        <f>'Kostenvergleich mit WBK'!Q6</f>
        <v>7.1276056993844011E-2</v>
      </c>
      <c r="Q68" s="909"/>
    </row>
    <row r="69" spans="2:17" ht="15" customHeight="1" x14ac:dyDescent="0.2">
      <c r="B69" s="239" t="s">
        <v>532</v>
      </c>
      <c r="C69" s="827">
        <v>41000000</v>
      </c>
      <c r="D69" s="257">
        <f>C69</f>
        <v>41000000</v>
      </c>
      <c r="E69" s="158"/>
      <c r="F69" s="258"/>
      <c r="G69" s="259"/>
      <c r="H69" s="259"/>
      <c r="I69" s="185"/>
      <c r="K69" s="902"/>
      <c r="L69" s="903"/>
      <c r="M69" s="919"/>
      <c r="N69" s="919"/>
      <c r="O69" s="920"/>
      <c r="P69" s="911"/>
      <c r="Q69" s="912"/>
    </row>
    <row r="70" spans="2:17" ht="15" customHeight="1" thickBot="1" x14ac:dyDescent="0.25">
      <c r="B70" s="239" t="s">
        <v>651</v>
      </c>
      <c r="C70" s="260"/>
      <c r="D70" s="257"/>
      <c r="E70" s="258"/>
      <c r="F70" s="258"/>
      <c r="G70" s="259"/>
      <c r="H70" s="259"/>
      <c r="I70" s="185"/>
      <c r="K70" s="902"/>
      <c r="L70" s="903"/>
      <c r="M70" s="903" t="s">
        <v>772</v>
      </c>
      <c r="N70" s="921"/>
      <c r="O70" s="922"/>
      <c r="P70" s="913">
        <f>'Kostenvergleich Betriebskosten'!R6</f>
        <v>5.9308258895710723E-2</v>
      </c>
      <c r="Q70" s="914"/>
    </row>
    <row r="71" spans="2:17" ht="14.25" customHeight="1" thickBot="1" x14ac:dyDescent="0.25">
      <c r="B71" s="239" t="s">
        <v>416</v>
      </c>
      <c r="C71" s="826"/>
      <c r="D71" s="257">
        <f>C71</f>
        <v>0</v>
      </c>
      <c r="E71" s="158"/>
      <c r="F71" s="158"/>
      <c r="G71" s="167"/>
      <c r="H71" s="167"/>
      <c r="I71" s="185"/>
      <c r="K71" s="904"/>
      <c r="L71" s="905"/>
      <c r="M71" s="923"/>
      <c r="N71" s="923"/>
      <c r="O71" s="924"/>
      <c r="P71" s="915"/>
      <c r="Q71" s="916"/>
    </row>
    <row r="72" spans="2:17" ht="16.5" thickTop="1" x14ac:dyDescent="0.2">
      <c r="B72" s="239" t="s">
        <v>418</v>
      </c>
      <c r="C72" s="826"/>
      <c r="D72" s="257">
        <f>C72</f>
        <v>0</v>
      </c>
      <c r="E72" s="158"/>
      <c r="F72" s="158"/>
      <c r="G72" s="167"/>
      <c r="H72" s="167"/>
      <c r="I72" s="185"/>
      <c r="K72" s="877"/>
      <c r="L72" s="877"/>
      <c r="M72" s="877"/>
      <c r="N72" s="877"/>
      <c r="O72" s="878"/>
    </row>
    <row r="73" spans="2:17" ht="15" customHeight="1" thickBot="1" x14ac:dyDescent="0.25">
      <c r="B73" s="239" t="s">
        <v>650</v>
      </c>
      <c r="C73" s="828">
        <v>1.0999999999999999E-2</v>
      </c>
      <c r="D73" s="257">
        <f>C73*C78</f>
        <v>11989731.742999999</v>
      </c>
      <c r="E73" s="261"/>
      <c r="F73" s="158"/>
      <c r="G73" s="167"/>
      <c r="H73" s="167"/>
      <c r="I73" s="185"/>
    </row>
    <row r="74" spans="2:17" ht="15" customHeight="1" thickBot="1" x14ac:dyDescent="0.3">
      <c r="B74" s="262" t="s">
        <v>665</v>
      </c>
      <c r="C74" s="263">
        <f>'Mehrerlöse CRM, sonstiges'!G14</f>
        <v>19001348.190000001</v>
      </c>
      <c r="D74" s="257">
        <f>C74</f>
        <v>19001348.190000001</v>
      </c>
      <c r="E74" s="158"/>
      <c r="F74" s="158"/>
      <c r="G74" s="167"/>
      <c r="H74" s="167"/>
      <c r="I74" s="185"/>
      <c r="K74" s="885" t="s">
        <v>631</v>
      </c>
      <c r="L74" s="886"/>
      <c r="M74" s="886"/>
      <c r="N74" s="887"/>
    </row>
    <row r="75" spans="2:17" ht="14.45" customHeight="1" thickBot="1" x14ac:dyDescent="0.3">
      <c r="B75" s="247" t="s">
        <v>26</v>
      </c>
      <c r="C75" s="248"/>
      <c r="D75" s="264">
        <f>SUM(D69:D74)</f>
        <v>71991079.932999998</v>
      </c>
      <c r="E75" s="265"/>
      <c r="F75" s="158"/>
      <c r="G75" s="158"/>
      <c r="H75" s="158"/>
      <c r="I75" s="158"/>
      <c r="K75" s="891"/>
      <c r="L75" s="892"/>
      <c r="M75" s="893"/>
      <c r="N75" s="266" t="s">
        <v>511</v>
      </c>
    </row>
    <row r="76" spans="2:17" ht="15" customHeight="1" x14ac:dyDescent="0.25">
      <c r="B76" s="212" t="s">
        <v>462</v>
      </c>
      <c r="C76" s="180"/>
      <c r="D76" s="182"/>
      <c r="E76" s="182"/>
      <c r="F76" s="267"/>
      <c r="G76" s="268"/>
      <c r="H76" s="268"/>
      <c r="I76" s="268"/>
      <c r="K76" s="888" t="s">
        <v>632</v>
      </c>
      <c r="L76" s="889"/>
      <c r="M76" s="890"/>
      <c r="N76" s="291">
        <v>0.2</v>
      </c>
    </row>
    <row r="77" spans="2:17" ht="15" customHeight="1" x14ac:dyDescent="0.2">
      <c r="B77" s="269" t="s">
        <v>442</v>
      </c>
      <c r="C77" s="829">
        <v>0.1</v>
      </c>
      <c r="D77" s="270"/>
      <c r="E77" s="271"/>
      <c r="F77" s="185"/>
      <c r="G77" s="185"/>
      <c r="H77" s="185"/>
      <c r="I77" s="185"/>
      <c r="K77" s="888" t="s">
        <v>633</v>
      </c>
      <c r="L77" s="889"/>
      <c r="M77" s="890"/>
      <c r="N77" s="291">
        <v>0.15</v>
      </c>
    </row>
    <row r="78" spans="2:17" ht="14.45" customHeight="1" thickBot="1" x14ac:dyDescent="0.25">
      <c r="B78" s="272" t="s">
        <v>414</v>
      </c>
      <c r="C78" s="830">
        <v>1089975613</v>
      </c>
      <c r="D78" s="273"/>
      <c r="E78" s="274"/>
      <c r="F78" s="185"/>
      <c r="G78" s="185"/>
      <c r="H78" s="185"/>
      <c r="I78" s="185"/>
      <c r="K78" s="888" t="s">
        <v>634</v>
      </c>
      <c r="L78" s="889"/>
      <c r="M78" s="890"/>
      <c r="N78" s="291">
        <v>0.03</v>
      </c>
    </row>
    <row r="79" spans="2:17" ht="15" customHeight="1" x14ac:dyDescent="0.25">
      <c r="B79" s="212" t="s">
        <v>467</v>
      </c>
      <c r="C79" s="275" t="s">
        <v>504</v>
      </c>
      <c r="D79" s="276"/>
      <c r="E79" s="277"/>
      <c r="F79" s="278"/>
      <c r="G79" s="279"/>
      <c r="H79" s="279"/>
      <c r="I79" s="279"/>
      <c r="K79" s="888" t="s">
        <v>582</v>
      </c>
      <c r="L79" s="889"/>
      <c r="M79" s="890"/>
      <c r="N79" s="291">
        <v>0</v>
      </c>
    </row>
    <row r="80" spans="2:17" ht="15" thickBot="1" x14ac:dyDescent="0.25">
      <c r="B80" s="280" t="s">
        <v>503</v>
      </c>
      <c r="C80" s="831">
        <v>120</v>
      </c>
      <c r="D80" s="281">
        <f>Migrationskosten!H16</f>
        <v>3757742.5</v>
      </c>
      <c r="E80" s="281"/>
      <c r="F80" s="282"/>
      <c r="G80" s="283"/>
      <c r="H80" s="283"/>
      <c r="I80" s="283"/>
      <c r="K80" s="888" t="s">
        <v>583</v>
      </c>
      <c r="L80" s="889"/>
      <c r="M80" s="890"/>
      <c r="N80" s="291">
        <v>0</v>
      </c>
    </row>
    <row r="81" spans="2:14" ht="15" customHeight="1" thickBot="1" x14ac:dyDescent="0.25">
      <c r="B81" s="284" t="s">
        <v>26</v>
      </c>
      <c r="C81" s="285"/>
      <c r="D81" s="286"/>
      <c r="E81" s="286"/>
      <c r="F81" s="287">
        <f>F57+F62+F67</f>
        <v>166832825</v>
      </c>
      <c r="G81" s="287">
        <f>G57+G62+G67</f>
        <v>166832825</v>
      </c>
      <c r="H81" s="288"/>
      <c r="I81" s="289">
        <f>I57+I62</f>
        <v>64147317.282837838</v>
      </c>
      <c r="K81" s="882" t="s">
        <v>635</v>
      </c>
      <c r="L81" s="883"/>
      <c r="M81" s="884"/>
      <c r="N81" s="292">
        <v>0.03</v>
      </c>
    </row>
    <row r="82" spans="2:14" x14ac:dyDescent="0.2">
      <c r="C82" s="290"/>
      <c r="D82" s="290"/>
      <c r="E82" s="290"/>
      <c r="F82" s="290"/>
      <c r="G82" s="290"/>
      <c r="H82" s="290"/>
      <c r="I82" s="290"/>
    </row>
    <row r="84" spans="2:14" x14ac:dyDescent="0.2">
      <c r="K84" s="153"/>
      <c r="L84" s="197"/>
      <c r="M84" s="197"/>
    </row>
    <row r="87" spans="2:14" x14ac:dyDescent="0.2">
      <c r="N87" s="153"/>
    </row>
    <row r="88" spans="2:14" x14ac:dyDescent="0.2">
      <c r="N88" s="153"/>
    </row>
    <row r="89" spans="2:14" x14ac:dyDescent="0.2">
      <c r="N89" s="153"/>
    </row>
    <row r="90" spans="2:14" x14ac:dyDescent="0.2">
      <c r="N90" s="153"/>
    </row>
    <row r="91" spans="2:14" x14ac:dyDescent="0.2">
      <c r="N91" s="153"/>
    </row>
    <row r="92" spans="2:14" x14ac:dyDescent="0.2">
      <c r="N92" s="153"/>
    </row>
    <row r="93" spans="2:14" x14ac:dyDescent="0.2">
      <c r="N93" s="153"/>
    </row>
    <row r="94" spans="2:14" x14ac:dyDescent="0.2">
      <c r="N94" s="153"/>
    </row>
    <row r="95" spans="2:14" x14ac:dyDescent="0.2">
      <c r="N95" s="153"/>
    </row>
    <row r="96" spans="2:14" x14ac:dyDescent="0.2">
      <c r="N96" s="153"/>
    </row>
    <row r="97" spans="11:14" x14ac:dyDescent="0.2">
      <c r="N97" s="153"/>
    </row>
    <row r="98" spans="11:14" x14ac:dyDescent="0.2">
      <c r="N98" s="153"/>
    </row>
    <row r="99" spans="11:14" x14ac:dyDescent="0.2">
      <c r="N99" s="153"/>
    </row>
    <row r="100" spans="11:14" x14ac:dyDescent="0.2">
      <c r="N100" s="153"/>
    </row>
    <row r="101" spans="11:14" x14ac:dyDescent="0.2">
      <c r="N101" s="153"/>
    </row>
    <row r="102" spans="11:14" x14ac:dyDescent="0.2">
      <c r="N102" s="153"/>
    </row>
    <row r="103" spans="11:14" x14ac:dyDescent="0.2">
      <c r="N103" s="153"/>
    </row>
    <row r="104" spans="11:14" x14ac:dyDescent="0.2">
      <c r="K104" s="197"/>
    </row>
  </sheetData>
  <sheetProtection sheet="1" objects="1" scenarios="1"/>
  <mergeCells count="15">
    <mergeCell ref="K66:N67"/>
    <mergeCell ref="K68:L71"/>
    <mergeCell ref="P66:Q67"/>
    <mergeCell ref="P68:Q69"/>
    <mergeCell ref="P70:Q71"/>
    <mergeCell ref="M68:O69"/>
    <mergeCell ref="M70:O71"/>
    <mergeCell ref="K81:M81"/>
    <mergeCell ref="K74:N74"/>
    <mergeCell ref="K79:M79"/>
    <mergeCell ref="K76:M76"/>
    <mergeCell ref="K77:M77"/>
    <mergeCell ref="K78:M78"/>
    <mergeCell ref="K80:M80"/>
    <mergeCell ref="K75:M75"/>
  </mergeCells>
  <printOptions horizontalCentered="1" verticalCentered="1"/>
  <pageMargins left="0.70866141732283472" right="0.70866141732283472" top="0.98425196850393704" bottom="0.78740157480314965" header="0.31496062992125984" footer="0.31496062992125984"/>
  <pageSetup paperSize="8" scale="53" orientation="landscape" r:id="rId1"/>
  <headerFooter>
    <oddHeader>&amp;L&amp;"Arial,Fett"&amp;16Gesamt-VRR&amp;C&amp;"Arial,Fett"&amp;16Machbarkeitsstudie EFM-3
- VERTRAULICH! -&amp;R&amp;G</oddHeader>
    <oddFooter>&amp;L&amp;"Arial,Standard"&amp;F
&amp;A
&amp;D
© BLIC / KCW&amp;C&amp;"Arial,Standard"&amp;P / &amp;N&amp;R&amp;G</oddFooter>
  </headerFooter>
  <ignoredErrors>
    <ignoredError sqref="D73" 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9FF99"/>
    <pageSetUpPr fitToPage="1"/>
  </sheetPr>
  <dimension ref="A1:O105"/>
  <sheetViews>
    <sheetView zoomScaleNormal="100" zoomScalePageLayoutView="70" workbookViewId="0">
      <selection activeCell="D12" sqref="D12"/>
    </sheetView>
  </sheetViews>
  <sheetFormatPr baseColWidth="10" defaultColWidth="11.42578125" defaultRowHeight="14.25" x14ac:dyDescent="0.2"/>
  <cols>
    <col min="1" max="1" width="2.85546875" style="1" customWidth="1"/>
    <col min="2" max="2" width="42.42578125" style="1" customWidth="1"/>
    <col min="3" max="3" width="19.28515625" style="2" customWidth="1"/>
    <col min="4" max="5" width="18.140625" style="4" customWidth="1"/>
    <col min="6" max="6" width="18.140625" style="2" customWidth="1"/>
    <col min="7" max="7" width="16.42578125" style="1" customWidth="1"/>
    <col min="8" max="9" width="20.28515625" style="1" customWidth="1"/>
    <col min="10" max="10" width="20.7109375" style="4" customWidth="1"/>
    <col min="11" max="16384" width="11.42578125" style="1"/>
  </cols>
  <sheetData>
    <row r="1" spans="2:11" s="31" customFormat="1" ht="15.75" x14ac:dyDescent="0.25">
      <c r="B1" s="957" t="s">
        <v>738</v>
      </c>
      <c r="C1" s="958"/>
      <c r="D1" s="102" t="s">
        <v>123</v>
      </c>
      <c r="E1" s="125"/>
      <c r="F1" s="972" t="s">
        <v>658</v>
      </c>
      <c r="G1" s="975" t="s">
        <v>659</v>
      </c>
      <c r="H1" s="961" t="s">
        <v>20</v>
      </c>
      <c r="I1" s="962"/>
    </row>
    <row r="2" spans="2:11" ht="15" customHeight="1" x14ac:dyDescent="0.2">
      <c r="B2" s="965" t="s">
        <v>24</v>
      </c>
      <c r="C2" s="966" t="s">
        <v>6</v>
      </c>
      <c r="D2" s="968" t="s">
        <v>11</v>
      </c>
      <c r="E2" s="970" t="s">
        <v>327</v>
      </c>
      <c r="F2" s="973"/>
      <c r="G2" s="976"/>
      <c r="H2" s="963" t="s">
        <v>326</v>
      </c>
      <c r="I2" s="959" t="s">
        <v>549</v>
      </c>
      <c r="J2" s="1"/>
    </row>
    <row r="3" spans="2:11" ht="15.75" customHeight="1" thickBot="1" x14ac:dyDescent="0.25">
      <c r="B3" s="935"/>
      <c r="C3" s="967"/>
      <c r="D3" s="969"/>
      <c r="E3" s="971"/>
      <c r="F3" s="974"/>
      <c r="G3" s="977"/>
      <c r="H3" s="964"/>
      <c r="I3" s="960"/>
      <c r="J3" s="1"/>
    </row>
    <row r="4" spans="2:11" ht="15.75" thickBot="1" x14ac:dyDescent="0.25">
      <c r="B4" s="26" t="s">
        <v>47</v>
      </c>
      <c r="C4" s="103">
        <v>1</v>
      </c>
      <c r="D4" s="113">
        <f>Übersicht!C4</f>
        <v>1600000</v>
      </c>
      <c r="E4" s="114">
        <f>Übersicht!C4</f>
        <v>1600000</v>
      </c>
      <c r="F4" s="839">
        <v>18</v>
      </c>
      <c r="G4" s="802">
        <v>0</v>
      </c>
      <c r="H4" s="123">
        <f>Übersicht!C7</f>
        <v>1710000</v>
      </c>
      <c r="I4" s="842">
        <v>120000</v>
      </c>
      <c r="J4" s="1"/>
    </row>
    <row r="5" spans="2:11" ht="29.25" x14ac:dyDescent="0.25">
      <c r="B5" s="71" t="s">
        <v>550</v>
      </c>
      <c r="C5" s="104">
        <f>ROUND((Eingabeparameter!E47+Eingabeparameter!F47)*(1+C53),0)</f>
        <v>559</v>
      </c>
      <c r="D5" s="833">
        <v>2050</v>
      </c>
      <c r="E5" s="834">
        <v>4000</v>
      </c>
      <c r="F5" s="835">
        <v>9</v>
      </c>
      <c r="G5" s="803">
        <v>0</v>
      </c>
      <c r="H5" s="840">
        <v>640</v>
      </c>
      <c r="I5" s="834">
        <v>115</v>
      </c>
      <c r="J5" s="1"/>
      <c r="K5" s="15"/>
    </row>
    <row r="6" spans="2:11" ht="30" thickBot="1" x14ac:dyDescent="0.3">
      <c r="B6" s="72" t="s">
        <v>598</v>
      </c>
      <c r="C6" s="105">
        <f>ROUND((Eingabeparameter!E48+Eingabeparameter!F48)*(1+C53),0)</f>
        <v>3244</v>
      </c>
      <c r="D6" s="836">
        <v>2050</v>
      </c>
      <c r="E6" s="837">
        <v>4000</v>
      </c>
      <c r="F6" s="838">
        <v>9</v>
      </c>
      <c r="G6" s="800">
        <v>0</v>
      </c>
      <c r="H6" s="841">
        <v>640</v>
      </c>
      <c r="I6" s="837">
        <v>115</v>
      </c>
      <c r="J6" s="1"/>
      <c r="K6" s="15"/>
    </row>
    <row r="7" spans="2:11" ht="15" x14ac:dyDescent="0.2">
      <c r="B7" s="16" t="s">
        <v>344</v>
      </c>
      <c r="C7" s="13"/>
      <c r="D7" s="89"/>
      <c r="E7" s="115"/>
      <c r="F7" s="13"/>
      <c r="G7" s="14"/>
      <c r="H7" s="73"/>
      <c r="I7" s="74"/>
      <c r="J7" s="1"/>
    </row>
    <row r="8" spans="2:11" x14ac:dyDescent="0.2">
      <c r="B8" s="6" t="s">
        <v>318</v>
      </c>
      <c r="C8" s="106">
        <f>ROUND(IF($C$50=1,(Eingabeparameter!F97+Eingabeparameter!F105*(1+C54)), IF($C$50=2,(C97+C105)*(1+C54))),0)</f>
        <v>27117</v>
      </c>
      <c r="D8" s="843">
        <v>1100</v>
      </c>
      <c r="E8" s="844">
        <v>1400</v>
      </c>
      <c r="F8" s="845">
        <v>9</v>
      </c>
      <c r="G8" s="801">
        <v>0</v>
      </c>
      <c r="H8" s="847">
        <v>375</v>
      </c>
      <c r="I8" s="844">
        <v>75</v>
      </c>
      <c r="J8" s="1"/>
    </row>
    <row r="9" spans="2:11" ht="15" thickBot="1" x14ac:dyDescent="0.25">
      <c r="B9" s="7" t="s">
        <v>319</v>
      </c>
      <c r="C9" s="107">
        <f>ROUND(IF($C$50=1,0, IF($C$50=2,((Eingabeparameter!F97+Eingabeparameter!F105)-(C97+C105))*(1+C54))),0)</f>
        <v>0</v>
      </c>
      <c r="D9" s="846">
        <v>1000</v>
      </c>
      <c r="E9" s="837">
        <v>1300</v>
      </c>
      <c r="F9" s="838">
        <v>9</v>
      </c>
      <c r="G9" s="800">
        <v>0</v>
      </c>
      <c r="H9" s="841">
        <v>300</v>
      </c>
      <c r="I9" s="837">
        <v>60</v>
      </c>
      <c r="J9" s="1"/>
    </row>
    <row r="10" spans="2:11" ht="15" x14ac:dyDescent="0.2">
      <c r="B10" s="16" t="s">
        <v>348</v>
      </c>
      <c r="C10" s="13"/>
      <c r="D10" s="89"/>
      <c r="E10" s="115"/>
      <c r="F10" s="13"/>
      <c r="G10" s="14"/>
      <c r="H10" s="73"/>
      <c r="I10" s="74"/>
      <c r="J10" s="1"/>
    </row>
    <row r="11" spans="2:11" x14ac:dyDescent="0.2">
      <c r="B11" s="6" t="s">
        <v>321</v>
      </c>
      <c r="C11" s="108">
        <f>Übersicht!C50</f>
        <v>1569</v>
      </c>
      <c r="D11" s="848">
        <v>950</v>
      </c>
      <c r="E11" s="844">
        <v>1000</v>
      </c>
      <c r="F11" s="845">
        <v>5</v>
      </c>
      <c r="G11" s="801">
        <v>0</v>
      </c>
      <c r="H11" s="847">
        <v>710</v>
      </c>
      <c r="I11" s="844">
        <v>185</v>
      </c>
      <c r="J11" s="1"/>
    </row>
    <row r="12" spans="2:11" ht="15" thickBot="1" x14ac:dyDescent="0.25">
      <c r="B12" s="7" t="s">
        <v>320</v>
      </c>
      <c r="C12" s="105">
        <f>Übersicht!C51</f>
        <v>0</v>
      </c>
      <c r="D12" s="836">
        <v>300</v>
      </c>
      <c r="E12" s="837">
        <v>350</v>
      </c>
      <c r="F12" s="838">
        <v>3</v>
      </c>
      <c r="G12" s="800">
        <v>0</v>
      </c>
      <c r="H12" s="841">
        <v>200</v>
      </c>
      <c r="I12" s="837">
        <v>0</v>
      </c>
      <c r="J12" s="1"/>
    </row>
    <row r="13" spans="2:11" ht="15" x14ac:dyDescent="0.2">
      <c r="B13" s="16" t="s">
        <v>46</v>
      </c>
      <c r="C13" s="13"/>
      <c r="D13" s="89"/>
      <c r="E13" s="115"/>
      <c r="F13" s="13"/>
      <c r="G13" s="14"/>
      <c r="H13" s="73"/>
      <c r="I13" s="74"/>
      <c r="J13" s="1"/>
    </row>
    <row r="14" spans="2:11" ht="28.5" x14ac:dyDescent="0.2">
      <c r="B14" s="5" t="s">
        <v>599</v>
      </c>
      <c r="C14" s="109">
        <f>Übersicht!C35</f>
        <v>547</v>
      </c>
      <c r="D14" s="849">
        <v>36000</v>
      </c>
      <c r="E14" s="850">
        <v>39500</v>
      </c>
      <c r="F14" s="851">
        <v>15</v>
      </c>
      <c r="G14" s="801">
        <v>0</v>
      </c>
      <c r="H14" s="847">
        <v>7880</v>
      </c>
      <c r="I14" s="844">
        <v>2230</v>
      </c>
      <c r="J14" s="1"/>
    </row>
    <row r="15" spans="2:11" ht="28.5" x14ac:dyDescent="0.2">
      <c r="B15" s="5" t="s">
        <v>597</v>
      </c>
      <c r="C15" s="110">
        <f>Übersicht!C36</f>
        <v>522</v>
      </c>
      <c r="D15" s="849">
        <v>36000</v>
      </c>
      <c r="E15" s="850">
        <v>39500</v>
      </c>
      <c r="F15" s="851">
        <v>15</v>
      </c>
      <c r="G15" s="801">
        <v>0</v>
      </c>
      <c r="H15" s="847">
        <v>7880</v>
      </c>
      <c r="I15" s="844">
        <v>2230</v>
      </c>
      <c r="J15" s="1"/>
    </row>
    <row r="16" spans="2:11" x14ac:dyDescent="0.2">
      <c r="B16" s="6" t="s">
        <v>601</v>
      </c>
      <c r="C16" s="111">
        <f>Übersicht!C37</f>
        <v>500</v>
      </c>
      <c r="D16" s="843">
        <v>10000</v>
      </c>
      <c r="E16" s="844">
        <v>12000</v>
      </c>
      <c r="F16" s="845">
        <v>15</v>
      </c>
      <c r="G16" s="801">
        <v>0</v>
      </c>
      <c r="H16" s="847">
        <v>2500</v>
      </c>
      <c r="I16" s="844">
        <v>700</v>
      </c>
      <c r="J16" s="1"/>
    </row>
    <row r="17" spans="2:10" x14ac:dyDescent="0.2">
      <c r="B17" s="6" t="s">
        <v>602</v>
      </c>
      <c r="C17" s="111">
        <f>Übersicht!C38</f>
        <v>0</v>
      </c>
      <c r="D17" s="843">
        <v>10000</v>
      </c>
      <c r="E17" s="844">
        <v>12000</v>
      </c>
      <c r="F17" s="845">
        <v>15</v>
      </c>
      <c r="G17" s="801">
        <v>0</v>
      </c>
      <c r="H17" s="847">
        <v>2500</v>
      </c>
      <c r="I17" s="844">
        <v>700</v>
      </c>
      <c r="J17" s="1"/>
    </row>
    <row r="18" spans="2:10" x14ac:dyDescent="0.2">
      <c r="B18" s="6" t="s">
        <v>314</v>
      </c>
      <c r="C18" s="111">
        <f>Übersicht!C39</f>
        <v>458</v>
      </c>
      <c r="D18" s="843">
        <v>12000</v>
      </c>
      <c r="E18" s="852">
        <v>15000</v>
      </c>
      <c r="F18" s="845">
        <v>9</v>
      </c>
      <c r="G18" s="801">
        <v>0</v>
      </c>
      <c r="H18" s="847">
        <v>2500</v>
      </c>
      <c r="I18" s="844">
        <v>700</v>
      </c>
      <c r="J18" s="1"/>
    </row>
    <row r="19" spans="2:10" ht="15" thickBot="1" x14ac:dyDescent="0.25">
      <c r="B19" s="7" t="s">
        <v>587</v>
      </c>
      <c r="C19" s="112">
        <f>C58</f>
        <v>3771</v>
      </c>
      <c r="D19" s="846">
        <v>3000</v>
      </c>
      <c r="E19" s="837">
        <v>4500</v>
      </c>
      <c r="F19" s="838">
        <v>9</v>
      </c>
      <c r="G19" s="800">
        <v>0</v>
      </c>
      <c r="H19" s="841">
        <v>1000</v>
      </c>
      <c r="I19" s="837">
        <v>300</v>
      </c>
      <c r="J19" s="1"/>
    </row>
    <row r="20" spans="2:10" ht="15" x14ac:dyDescent="0.2">
      <c r="B20" s="16" t="s">
        <v>330</v>
      </c>
      <c r="C20" s="13"/>
      <c r="D20" s="89"/>
      <c r="E20" s="115"/>
      <c r="F20" s="13"/>
      <c r="G20" s="14"/>
      <c r="H20" s="73"/>
      <c r="I20" s="74"/>
      <c r="J20" s="1"/>
    </row>
    <row r="21" spans="2:10" ht="28.5" x14ac:dyDescent="0.2">
      <c r="B21" s="6" t="s">
        <v>329</v>
      </c>
      <c r="C21" s="108">
        <f>Übersicht!C43</f>
        <v>271</v>
      </c>
      <c r="D21" s="848">
        <v>1000</v>
      </c>
      <c r="E21" s="844">
        <v>1250</v>
      </c>
      <c r="F21" s="845">
        <v>3</v>
      </c>
      <c r="G21" s="801">
        <v>0</v>
      </c>
      <c r="H21" s="847">
        <v>400</v>
      </c>
      <c r="I21" s="844">
        <v>100</v>
      </c>
      <c r="J21" s="1"/>
    </row>
    <row r="22" spans="2:10" ht="29.25" thickBot="1" x14ac:dyDescent="0.25">
      <c r="B22" s="7" t="s">
        <v>328</v>
      </c>
      <c r="C22" s="105">
        <f>Übersicht!C44</f>
        <v>1283</v>
      </c>
      <c r="D22" s="836">
        <v>500</v>
      </c>
      <c r="E22" s="837">
        <v>750</v>
      </c>
      <c r="F22" s="838">
        <v>3</v>
      </c>
      <c r="G22" s="800">
        <v>0</v>
      </c>
      <c r="H22" s="841">
        <v>165</v>
      </c>
      <c r="I22" s="837">
        <v>50</v>
      </c>
      <c r="J22" s="1"/>
    </row>
    <row r="23" spans="2:10" ht="15" x14ac:dyDescent="0.2">
      <c r="B23" s="16" t="s">
        <v>417</v>
      </c>
      <c r="C23" s="13"/>
      <c r="D23" s="89"/>
      <c r="E23" s="115"/>
      <c r="F23" s="13"/>
      <c r="G23" s="14"/>
      <c r="H23" s="73"/>
      <c r="I23" s="74"/>
    </row>
    <row r="24" spans="2:10" ht="15" thickBot="1" x14ac:dyDescent="0.25">
      <c r="B24" s="7" t="s">
        <v>417</v>
      </c>
      <c r="C24" s="105">
        <f>SUM(C8:C9)+SUM(C14:C19)+SUM(C21:C22)+SUM(C5:C6)+SUM(C11:C12)</f>
        <v>39841</v>
      </c>
      <c r="D24" s="836">
        <v>25</v>
      </c>
      <c r="E24" s="837">
        <v>25</v>
      </c>
      <c r="F24" s="838">
        <v>5</v>
      </c>
      <c r="G24" s="800">
        <v>0</v>
      </c>
      <c r="H24" s="841">
        <v>0</v>
      </c>
      <c r="I24" s="837">
        <v>0</v>
      </c>
    </row>
    <row r="25" spans="2:10" ht="15" thickBot="1" x14ac:dyDescent="0.25">
      <c r="J25" s="1"/>
    </row>
    <row r="26" spans="2:10" ht="16.5" thickBot="1" x14ac:dyDescent="0.3">
      <c r="B26" s="36" t="s">
        <v>91</v>
      </c>
      <c r="C26" s="130" t="s">
        <v>736</v>
      </c>
      <c r="D26" s="37"/>
      <c r="E26" s="931" t="s">
        <v>737</v>
      </c>
      <c r="F26" s="932"/>
      <c r="G26" s="933"/>
    </row>
    <row r="27" spans="2:10" ht="15" customHeight="1" x14ac:dyDescent="0.2">
      <c r="B27" s="934" t="s">
        <v>24</v>
      </c>
      <c r="C27" s="948" t="s">
        <v>7</v>
      </c>
      <c r="D27" s="942" t="s">
        <v>613</v>
      </c>
      <c r="E27" s="938" t="s">
        <v>25</v>
      </c>
      <c r="F27" s="939"/>
      <c r="G27" s="950" t="s">
        <v>742</v>
      </c>
    </row>
    <row r="28" spans="2:10" ht="15.75" customHeight="1" thickBot="1" x14ac:dyDescent="0.25">
      <c r="B28" s="935"/>
      <c r="C28" s="949"/>
      <c r="D28" s="943"/>
      <c r="E28" s="940"/>
      <c r="F28" s="941"/>
      <c r="G28" s="951"/>
    </row>
    <row r="29" spans="2:10" x14ac:dyDescent="0.2">
      <c r="B29" s="11" t="s">
        <v>324</v>
      </c>
      <c r="C29" s="43">
        <f>Übersicht!C5</f>
        <v>9930000</v>
      </c>
      <c r="D29" s="799">
        <v>0</v>
      </c>
      <c r="E29" s="944" t="s">
        <v>55</v>
      </c>
      <c r="F29" s="945"/>
      <c r="G29" s="86">
        <f>Übersicht!C8</f>
        <v>1410000</v>
      </c>
    </row>
    <row r="30" spans="2:10" ht="15" thickBot="1" x14ac:dyDescent="0.25">
      <c r="B30" s="12" t="s">
        <v>325</v>
      </c>
      <c r="C30" s="44">
        <f>Übersicht!C6</f>
        <v>9840000</v>
      </c>
      <c r="D30" s="798">
        <v>0</v>
      </c>
      <c r="E30" s="946" t="s">
        <v>377</v>
      </c>
      <c r="F30" s="947"/>
      <c r="G30" s="87">
        <f>Übersicht!C9</f>
        <v>2260000</v>
      </c>
    </row>
    <row r="31" spans="2:10" ht="15" thickBot="1" x14ac:dyDescent="0.25">
      <c r="J31" s="1"/>
    </row>
    <row r="32" spans="2:10" ht="16.5" thickBot="1" x14ac:dyDescent="0.3">
      <c r="B32" s="925" t="s">
        <v>323</v>
      </c>
      <c r="C32" s="926"/>
      <c r="D32" s="927"/>
      <c r="E32" s="9"/>
      <c r="F32" s="1"/>
      <c r="H32" s="4"/>
      <c r="I32" s="4"/>
      <c r="J32" s="1"/>
    </row>
    <row r="33" spans="2:15" ht="15" x14ac:dyDescent="0.25">
      <c r="B33" s="934" t="s">
        <v>25</v>
      </c>
      <c r="C33" s="936" t="s">
        <v>376</v>
      </c>
      <c r="D33" s="952" t="s">
        <v>613</v>
      </c>
      <c r="E33" s="10"/>
      <c r="F33" s="1"/>
      <c r="H33" s="4"/>
      <c r="I33" s="4"/>
      <c r="J33" s="1"/>
    </row>
    <row r="34" spans="2:15" ht="15" thickBot="1" x14ac:dyDescent="0.25">
      <c r="B34" s="935"/>
      <c r="C34" s="937"/>
      <c r="D34" s="953"/>
      <c r="E34" s="3"/>
      <c r="F34" s="1"/>
      <c r="H34" s="4"/>
      <c r="I34" s="4"/>
    </row>
    <row r="35" spans="2:15" ht="15" thickBot="1" x14ac:dyDescent="0.25">
      <c r="B35" s="41" t="s">
        <v>412</v>
      </c>
      <c r="C35" s="853">
        <v>100</v>
      </c>
      <c r="D35" s="797">
        <v>0</v>
      </c>
      <c r="E35" s="8"/>
      <c r="F35" s="1"/>
      <c r="H35" s="4"/>
      <c r="I35" s="4"/>
    </row>
    <row r="36" spans="2:15" ht="15" thickBot="1" x14ac:dyDescent="0.25"/>
    <row r="37" spans="2:15" ht="14.25" customHeight="1" thickBot="1" x14ac:dyDescent="0.3">
      <c r="B37" s="925" t="s">
        <v>61</v>
      </c>
      <c r="C37" s="926"/>
      <c r="D37" s="926"/>
      <c r="E37" s="927"/>
    </row>
    <row r="38" spans="2:15" ht="30" x14ac:dyDescent="0.25">
      <c r="B38" s="29"/>
      <c r="C38" s="135" t="s">
        <v>35</v>
      </c>
      <c r="D38" s="23" t="s">
        <v>369</v>
      </c>
      <c r="E38" s="136" t="s">
        <v>37</v>
      </c>
    </row>
    <row r="39" spans="2:15" ht="15" thickBot="1" x14ac:dyDescent="0.25">
      <c r="B39" s="34" t="s">
        <v>370</v>
      </c>
      <c r="C39" s="854">
        <v>1.07</v>
      </c>
      <c r="D39" s="855">
        <v>1.69</v>
      </c>
      <c r="E39" s="856">
        <v>1</v>
      </c>
    </row>
    <row r="40" spans="2:15" ht="30" x14ac:dyDescent="0.25">
      <c r="B40" s="45" t="s">
        <v>426</v>
      </c>
      <c r="C40" s="100" t="s">
        <v>743</v>
      </c>
    </row>
    <row r="41" spans="2:15" x14ac:dyDescent="0.2">
      <c r="B41" s="18" t="s">
        <v>425</v>
      </c>
      <c r="C41" s="291">
        <v>0.4</v>
      </c>
    </row>
    <row r="42" spans="2:15" x14ac:dyDescent="0.2">
      <c r="B42" s="18" t="s">
        <v>358</v>
      </c>
      <c r="C42" s="291">
        <v>0.2</v>
      </c>
      <c r="D42" s="138" t="s">
        <v>745</v>
      </c>
      <c r="E42" s="138"/>
      <c r="F42" s="138"/>
      <c r="G42" s="139"/>
      <c r="L42" s="28"/>
      <c r="O42" s="4"/>
    </row>
    <row r="43" spans="2:15" ht="15" thickBot="1" x14ac:dyDescent="0.25">
      <c r="B43" s="22" t="s">
        <v>359</v>
      </c>
      <c r="C43" s="292">
        <v>0.2</v>
      </c>
      <c r="D43" s="137" t="s">
        <v>745</v>
      </c>
      <c r="E43" s="138"/>
      <c r="F43" s="138"/>
      <c r="G43" s="139"/>
      <c r="J43" s="1"/>
      <c r="K43" s="28"/>
      <c r="N43" s="4"/>
    </row>
    <row r="44" spans="2:15" ht="15" thickBot="1" x14ac:dyDescent="0.25">
      <c r="K44" s="2"/>
      <c r="N44" s="4"/>
    </row>
    <row r="45" spans="2:15" ht="16.5" thickBot="1" x14ac:dyDescent="0.3">
      <c r="B45" s="925" t="s">
        <v>739</v>
      </c>
      <c r="C45" s="926"/>
      <c r="D45" s="926"/>
      <c r="E45" s="926"/>
      <c r="F45" s="927"/>
      <c r="H45" s="4"/>
      <c r="I45" s="4"/>
      <c r="K45" s="2"/>
      <c r="N45" s="4"/>
    </row>
    <row r="46" spans="2:15" ht="105" x14ac:dyDescent="0.25">
      <c r="B46" s="24" t="s">
        <v>740</v>
      </c>
      <c r="C46" s="30" t="s">
        <v>353</v>
      </c>
      <c r="D46" s="25" t="s">
        <v>371</v>
      </c>
      <c r="E46" s="39" t="s">
        <v>373</v>
      </c>
      <c r="F46" s="17" t="s">
        <v>372</v>
      </c>
      <c r="G46" s="4"/>
      <c r="K46" s="2"/>
      <c r="N46" s="4"/>
    </row>
    <row r="47" spans="2:15" x14ac:dyDescent="0.2">
      <c r="B47" s="18" t="s">
        <v>351</v>
      </c>
      <c r="C47" s="806">
        <v>2</v>
      </c>
      <c r="D47" s="806">
        <v>4</v>
      </c>
      <c r="E47" s="38">
        <f>Übersicht!C28*C47</f>
        <v>466</v>
      </c>
      <c r="F47" s="19">
        <f>ROUND(Übersicht!C28*Übersicht!C29*D47,0)</f>
        <v>93</v>
      </c>
      <c r="G47" s="2"/>
      <c r="H47" s="4"/>
      <c r="I47" s="4"/>
      <c r="K47" s="2"/>
      <c r="N47" s="4"/>
    </row>
    <row r="48" spans="2:15" ht="15" thickBot="1" x14ac:dyDescent="0.25">
      <c r="B48" s="22" t="s">
        <v>352</v>
      </c>
      <c r="C48" s="807">
        <v>3</v>
      </c>
      <c r="D48" s="807">
        <v>5</v>
      </c>
      <c r="E48" s="48">
        <f>Übersicht!C31*C48</f>
        <v>2994</v>
      </c>
      <c r="F48" s="49">
        <f>ROUND(Übersicht!C31*Übersicht!C32*D48,0)</f>
        <v>250</v>
      </c>
      <c r="G48" s="2"/>
      <c r="H48" s="4"/>
      <c r="I48" s="4"/>
      <c r="K48" s="2"/>
      <c r="N48" s="4"/>
    </row>
    <row r="49" spans="1:14" ht="15.75" thickBot="1" x14ac:dyDescent="0.3">
      <c r="B49" s="808" t="s">
        <v>751</v>
      </c>
      <c r="C49" s="128"/>
      <c r="D49" s="809" t="s">
        <v>753</v>
      </c>
      <c r="E49" s="46">
        <f>SUM(E47:E48)</f>
        <v>3460</v>
      </c>
      <c r="F49" s="47">
        <f>SUM(F47:F48)</f>
        <v>343</v>
      </c>
      <c r="G49" s="2"/>
      <c r="H49" s="4"/>
      <c r="I49" s="4"/>
      <c r="K49" s="2"/>
      <c r="N49" s="4"/>
    </row>
    <row r="50" spans="1:14" x14ac:dyDescent="0.2">
      <c r="A50" s="67"/>
      <c r="B50" s="126" t="s">
        <v>653</v>
      </c>
      <c r="C50" s="293">
        <v>1</v>
      </c>
      <c r="D50" s="90" t="s">
        <v>654</v>
      </c>
      <c r="E50" s="91"/>
      <c r="F50" s="92"/>
      <c r="G50" s="93"/>
      <c r="H50" s="93"/>
      <c r="I50" s="94"/>
    </row>
    <row r="51" spans="1:14" ht="15" thickBot="1" x14ac:dyDescent="0.25">
      <c r="B51" s="98" t="s">
        <v>656</v>
      </c>
      <c r="C51" s="294">
        <v>3</v>
      </c>
      <c r="D51" s="90" t="s">
        <v>655</v>
      </c>
      <c r="E51" s="95"/>
      <c r="F51" s="96"/>
      <c r="G51" s="97"/>
      <c r="H51" s="140"/>
      <c r="I51" s="94"/>
    </row>
    <row r="52" spans="1:14" ht="15.75" thickBot="1" x14ac:dyDescent="0.3">
      <c r="B52" s="127" t="s">
        <v>752</v>
      </c>
      <c r="C52" s="128"/>
      <c r="D52"/>
      <c r="E52"/>
      <c r="F52"/>
    </row>
    <row r="53" spans="1:14" x14ac:dyDescent="0.2">
      <c r="B53" s="98" t="s">
        <v>669</v>
      </c>
      <c r="C53" s="795">
        <v>0</v>
      </c>
      <c r="D53" s="1"/>
      <c r="E53" s="1"/>
      <c r="F53" s="1"/>
    </row>
    <row r="54" spans="1:14" ht="15" thickBot="1" x14ac:dyDescent="0.25">
      <c r="B54" s="99" t="s">
        <v>670</v>
      </c>
      <c r="C54" s="796">
        <v>0</v>
      </c>
      <c r="D54" s="1"/>
      <c r="E54" s="1"/>
      <c r="F54" s="1"/>
      <c r="G54" s="2"/>
      <c r="H54" s="4"/>
      <c r="I54" s="4"/>
      <c r="K54" s="2"/>
      <c r="N54" s="4"/>
    </row>
    <row r="55" spans="1:14" ht="15.75" thickBot="1" x14ac:dyDescent="0.3">
      <c r="C55" s="27"/>
      <c r="D55" s="27"/>
      <c r="E55" s="58"/>
      <c r="F55" s="59"/>
      <c r="G55" s="2"/>
      <c r="H55" s="4"/>
      <c r="I55" s="4"/>
      <c r="K55" s="2"/>
      <c r="N55" s="4"/>
    </row>
    <row r="56" spans="1:14" ht="16.5" thickBot="1" x14ac:dyDescent="0.3">
      <c r="B56" s="925" t="s">
        <v>467</v>
      </c>
      <c r="C56" s="926"/>
      <c r="D56" s="926"/>
      <c r="E56" s="926"/>
      <c r="F56" s="927"/>
      <c r="G56" s="2"/>
      <c r="H56" s="4"/>
      <c r="I56" s="4"/>
      <c r="K56" s="2"/>
      <c r="N56" s="4"/>
    </row>
    <row r="57" spans="1:14" ht="45" x14ac:dyDescent="0.2">
      <c r="B57" s="101" t="s">
        <v>472</v>
      </c>
      <c r="C57" s="30" t="s">
        <v>476</v>
      </c>
      <c r="D57" s="30" t="s">
        <v>469</v>
      </c>
      <c r="E57" s="30" t="s">
        <v>484</v>
      </c>
      <c r="F57" s="17" t="s">
        <v>468</v>
      </c>
      <c r="G57" s="2"/>
      <c r="H57" s="4"/>
      <c r="I57" s="4"/>
      <c r="K57" s="2"/>
      <c r="N57" s="4"/>
    </row>
    <row r="58" spans="1:14" ht="15" customHeight="1" x14ac:dyDescent="0.2">
      <c r="B58" s="18" t="s">
        <v>470</v>
      </c>
      <c r="C58" s="60">
        <f>SUM(C93:C95)</f>
        <v>3771</v>
      </c>
      <c r="D58" s="857">
        <v>1</v>
      </c>
      <c r="E58" s="857">
        <v>1</v>
      </c>
      <c r="F58" s="858">
        <v>125</v>
      </c>
      <c r="G58" s="2"/>
      <c r="H58" s="4"/>
      <c r="I58" s="4"/>
      <c r="K58" s="2"/>
      <c r="N58" s="4"/>
    </row>
    <row r="59" spans="1:14" ht="15" thickBot="1" x14ac:dyDescent="0.25">
      <c r="B59" s="40" t="s">
        <v>471</v>
      </c>
      <c r="C59" s="61">
        <f>C105</f>
        <v>950</v>
      </c>
      <c r="D59" s="859">
        <v>2.5</v>
      </c>
      <c r="E59" s="859">
        <v>2.5</v>
      </c>
      <c r="F59" s="860">
        <v>125</v>
      </c>
      <c r="G59" s="2"/>
      <c r="H59" s="4"/>
      <c r="I59" s="4"/>
      <c r="K59" s="2"/>
      <c r="N59" s="4"/>
    </row>
    <row r="60" spans="1:14" ht="45" x14ac:dyDescent="0.2">
      <c r="B60" s="101" t="s">
        <v>473</v>
      </c>
      <c r="C60" s="30" t="s">
        <v>477</v>
      </c>
      <c r="D60" s="30" t="s">
        <v>657</v>
      </c>
      <c r="E60" s="131"/>
      <c r="F60" s="17" t="s">
        <v>489</v>
      </c>
      <c r="G60" s="2"/>
      <c r="H60" s="4"/>
      <c r="I60" s="4"/>
      <c r="K60" s="2"/>
      <c r="N60" s="4"/>
    </row>
    <row r="61" spans="1:14" ht="15" x14ac:dyDescent="0.2">
      <c r="B61" s="18" t="s">
        <v>474</v>
      </c>
      <c r="C61" s="60">
        <f>ROUND(SUM((C58+C59)*2.2),0)</f>
        <v>10386</v>
      </c>
      <c r="D61" s="857">
        <v>1</v>
      </c>
      <c r="E61" s="65"/>
      <c r="F61" s="858">
        <v>180</v>
      </c>
      <c r="G61" s="2"/>
      <c r="H61" s="4"/>
      <c r="I61" s="4"/>
      <c r="K61" s="2"/>
      <c r="N61" s="4"/>
    </row>
    <row r="62" spans="1:14" ht="31.5" customHeight="1" x14ac:dyDescent="0.25">
      <c r="B62" s="40" t="s">
        <v>482</v>
      </c>
      <c r="C62" s="124">
        <f>ROUND(C21*'Kosten Kundencenter'!G53,0)</f>
        <v>415</v>
      </c>
      <c r="D62" s="859">
        <v>1</v>
      </c>
      <c r="E62" s="65"/>
      <c r="F62" s="858">
        <v>180</v>
      </c>
      <c r="G62" s="928" t="s">
        <v>727</v>
      </c>
      <c r="H62" s="929"/>
      <c r="I62" s="930"/>
      <c r="K62" s="2"/>
      <c r="N62" s="4"/>
    </row>
    <row r="63" spans="1:14" ht="15.75" thickBot="1" x14ac:dyDescent="0.25">
      <c r="B63" s="40" t="s">
        <v>475</v>
      </c>
      <c r="C63" s="861"/>
      <c r="D63" s="859">
        <v>2</v>
      </c>
      <c r="E63" s="132"/>
      <c r="F63" s="860">
        <v>180</v>
      </c>
      <c r="G63" s="2"/>
      <c r="H63" s="4"/>
      <c r="I63" s="4"/>
      <c r="J63" s="2"/>
      <c r="K63" s="4"/>
    </row>
    <row r="64" spans="1:14" ht="60" x14ac:dyDescent="0.2">
      <c r="B64" s="101" t="s">
        <v>138</v>
      </c>
      <c r="C64" s="30" t="s">
        <v>492</v>
      </c>
      <c r="D64" s="133"/>
      <c r="E64" s="131"/>
      <c r="F64" s="17" t="s">
        <v>491</v>
      </c>
      <c r="G64" s="2"/>
      <c r="H64" s="4"/>
      <c r="I64" s="4"/>
      <c r="J64" s="2"/>
      <c r="K64" s="4"/>
    </row>
    <row r="65" spans="2:13" ht="29.25" thickBot="1" x14ac:dyDescent="0.25">
      <c r="B65" s="63" t="s">
        <v>490</v>
      </c>
      <c r="C65" s="66">
        <f>Übersicht!C80</f>
        <v>120</v>
      </c>
      <c r="D65" s="64"/>
      <c r="E65" s="62"/>
      <c r="F65" s="862">
        <v>5000</v>
      </c>
      <c r="G65" s="2"/>
      <c r="H65" s="4"/>
      <c r="I65" s="4"/>
      <c r="J65" s="2"/>
      <c r="K65" s="4"/>
    </row>
    <row r="66" spans="2:13" ht="15" thickBot="1" x14ac:dyDescent="0.25">
      <c r="J66" s="2"/>
      <c r="K66" s="4"/>
    </row>
    <row r="67" spans="2:13" ht="16.5" thickBot="1" x14ac:dyDescent="0.3">
      <c r="B67" s="925" t="s">
        <v>660</v>
      </c>
      <c r="C67" s="927"/>
      <c r="J67" s="1"/>
      <c r="K67" s="4"/>
    </row>
    <row r="68" spans="2:13" ht="15.75" x14ac:dyDescent="0.25">
      <c r="B68" s="116" t="s">
        <v>661</v>
      </c>
      <c r="C68" s="136" t="s">
        <v>663</v>
      </c>
      <c r="J68" s="2"/>
      <c r="K68" s="4"/>
    </row>
    <row r="69" spans="2:13" x14ac:dyDescent="0.2">
      <c r="B69" s="69" t="s">
        <v>533</v>
      </c>
      <c r="C69" s="863">
        <v>2.5000000000000001E-2</v>
      </c>
      <c r="J69" s="2"/>
      <c r="K69" s="4"/>
    </row>
    <row r="70" spans="2:13" x14ac:dyDescent="0.2">
      <c r="B70" s="69" t="s">
        <v>535</v>
      </c>
      <c r="C70" s="863">
        <v>2.5000000000000001E-2</v>
      </c>
      <c r="J70" s="2"/>
      <c r="K70" s="4"/>
    </row>
    <row r="71" spans="2:13" x14ac:dyDescent="0.2">
      <c r="B71" s="69" t="s">
        <v>536</v>
      </c>
      <c r="C71" s="863">
        <v>0.01</v>
      </c>
      <c r="J71" s="2"/>
      <c r="K71" s="4"/>
    </row>
    <row r="72" spans="2:13" ht="15" thickBot="1" x14ac:dyDescent="0.25">
      <c r="B72" s="117" t="s">
        <v>537</v>
      </c>
      <c r="C72" s="864">
        <v>0.01</v>
      </c>
      <c r="J72" s="2"/>
      <c r="K72" s="4"/>
    </row>
    <row r="73" spans="2:13" ht="15" x14ac:dyDescent="0.25">
      <c r="B73" s="118" t="s">
        <v>662</v>
      </c>
      <c r="C73" s="119" t="s">
        <v>664</v>
      </c>
      <c r="J73" s="2"/>
      <c r="K73" s="4"/>
    </row>
    <row r="74" spans="2:13" x14ac:dyDescent="0.2">
      <c r="B74" s="69" t="s">
        <v>534</v>
      </c>
      <c r="C74" s="865">
        <v>0</v>
      </c>
      <c r="J74" s="2"/>
      <c r="K74" s="4"/>
    </row>
    <row r="75" spans="2:13" x14ac:dyDescent="0.2">
      <c r="B75" s="69" t="s">
        <v>538</v>
      </c>
      <c r="C75" s="805">
        <v>0</v>
      </c>
      <c r="D75" s="75"/>
      <c r="J75" s="2"/>
      <c r="K75" s="4"/>
    </row>
    <row r="76" spans="2:13" ht="15" thickBot="1" x14ac:dyDescent="0.25">
      <c r="B76" s="70"/>
      <c r="C76" s="120"/>
      <c r="J76" s="2"/>
      <c r="M76" s="4"/>
    </row>
    <row r="77" spans="2:13" ht="15" thickBot="1" x14ac:dyDescent="0.25">
      <c r="B77" s="68"/>
      <c r="D77" s="27"/>
      <c r="J77" s="2"/>
      <c r="M77" s="4"/>
    </row>
    <row r="78" spans="2:13" ht="15" customHeight="1" thickBot="1" x14ac:dyDescent="0.3">
      <c r="B78" s="955" t="s">
        <v>624</v>
      </c>
      <c r="C78" s="956"/>
      <c r="D78" s="77"/>
      <c r="E78" s="76"/>
      <c r="J78" s="78"/>
      <c r="M78" s="4"/>
    </row>
    <row r="79" spans="2:13" ht="15" customHeight="1" x14ac:dyDescent="0.2">
      <c r="B79" s="81" t="s">
        <v>629</v>
      </c>
      <c r="C79" s="295">
        <v>1</v>
      </c>
      <c r="D79" s="79"/>
      <c r="E79" s="80"/>
      <c r="F79" s="80"/>
      <c r="G79" s="80"/>
      <c r="H79" s="80"/>
      <c r="I79" s="80"/>
      <c r="J79" s="2"/>
      <c r="M79" s="4"/>
    </row>
    <row r="80" spans="2:13" ht="15" thickBot="1" x14ac:dyDescent="0.25">
      <c r="B80" s="82" t="s">
        <v>630</v>
      </c>
      <c r="C80" s="296">
        <v>1</v>
      </c>
      <c r="D80" s="79"/>
      <c r="E80" s="80"/>
      <c r="F80" s="80"/>
      <c r="G80" s="80"/>
      <c r="H80" s="80"/>
      <c r="I80" s="80"/>
      <c r="J80" s="2"/>
      <c r="M80" s="4"/>
    </row>
    <row r="81" spans="2:13" hidden="1" x14ac:dyDescent="0.2">
      <c r="B81" s="68"/>
      <c r="J81" s="2"/>
      <c r="M81" s="4"/>
    </row>
    <row r="82" spans="2:13" ht="16.5" hidden="1" thickBot="1" x14ac:dyDescent="0.3">
      <c r="B82" s="955" t="s">
        <v>750</v>
      </c>
      <c r="C82" s="956"/>
      <c r="J82" s="2"/>
      <c r="M82" s="4"/>
    </row>
    <row r="83" spans="2:13" ht="15.75" hidden="1" x14ac:dyDescent="0.25">
      <c r="B83" s="84"/>
      <c r="C83" s="83" t="s">
        <v>511</v>
      </c>
      <c r="J83" s="2"/>
      <c r="M83" s="4"/>
    </row>
    <row r="84" spans="2:13" hidden="1" x14ac:dyDescent="0.2">
      <c r="B84" s="85" t="s">
        <v>632</v>
      </c>
      <c r="C84" s="122">
        <f>Übersicht!N76</f>
        <v>0.2</v>
      </c>
      <c r="J84" s="2"/>
      <c r="M84" s="4"/>
    </row>
    <row r="85" spans="2:13" hidden="1" x14ac:dyDescent="0.2">
      <c r="B85" s="85" t="s">
        <v>633</v>
      </c>
      <c r="C85" s="122">
        <f>Übersicht!N77</f>
        <v>0.15</v>
      </c>
      <c r="J85" s="2"/>
      <c r="M85" s="4"/>
    </row>
    <row r="86" spans="2:13" hidden="1" x14ac:dyDescent="0.2">
      <c r="B86" s="85" t="s">
        <v>634</v>
      </c>
      <c r="C86" s="122">
        <f>Übersicht!N78</f>
        <v>0.03</v>
      </c>
      <c r="J86" s="2"/>
      <c r="M86" s="4"/>
    </row>
    <row r="87" spans="2:13" hidden="1" x14ac:dyDescent="0.2">
      <c r="B87" s="85" t="s">
        <v>582</v>
      </c>
      <c r="C87" s="122">
        <f>Übersicht!N79</f>
        <v>0</v>
      </c>
      <c r="J87" s="2"/>
      <c r="M87" s="4"/>
    </row>
    <row r="88" spans="2:13" hidden="1" x14ac:dyDescent="0.2">
      <c r="B88" s="85" t="s">
        <v>583</v>
      </c>
      <c r="C88" s="122">
        <f>Übersicht!N80</f>
        <v>0</v>
      </c>
      <c r="J88" s="2"/>
      <c r="M88" s="4"/>
    </row>
    <row r="89" spans="2:13" ht="15" hidden="1" thickBot="1" x14ac:dyDescent="0.25">
      <c r="B89" s="82" t="s">
        <v>635</v>
      </c>
      <c r="C89" s="129">
        <f>Übersicht!N81</f>
        <v>0.03</v>
      </c>
      <c r="J89" s="2"/>
      <c r="M89" s="4"/>
    </row>
    <row r="90" spans="2:13" ht="15" thickBot="1" x14ac:dyDescent="0.25">
      <c r="B90" s="68"/>
      <c r="J90" s="2"/>
      <c r="M90" s="4"/>
    </row>
    <row r="91" spans="2:13" ht="16.5" thickBot="1" x14ac:dyDescent="0.3">
      <c r="B91" s="925" t="s">
        <v>641</v>
      </c>
      <c r="C91" s="926"/>
      <c r="D91" s="926"/>
      <c r="E91" s="926"/>
      <c r="F91" s="927"/>
      <c r="G91" s="35"/>
      <c r="H91" s="35"/>
      <c r="I91" s="35"/>
      <c r="J91" s="1"/>
      <c r="M91" s="4"/>
    </row>
    <row r="92" spans="2:13" ht="45" x14ac:dyDescent="0.2">
      <c r="B92" s="88" t="s">
        <v>668</v>
      </c>
      <c r="C92" s="23" t="s">
        <v>407</v>
      </c>
      <c r="D92" s="30" t="s">
        <v>332</v>
      </c>
      <c r="E92" s="30" t="s">
        <v>464</v>
      </c>
      <c r="F92" s="17" t="s">
        <v>343</v>
      </c>
      <c r="G92" s="4"/>
      <c r="H92" s="4"/>
      <c r="I92" s="4"/>
      <c r="J92" s="1"/>
      <c r="M92" s="4"/>
    </row>
    <row r="93" spans="2:13" x14ac:dyDescent="0.2">
      <c r="B93" s="18" t="s">
        <v>333</v>
      </c>
      <c r="C93" s="42">
        <f>Übersicht!C13</f>
        <v>1445</v>
      </c>
      <c r="D93" s="134">
        <f>IF(Eingabeparameter!$C$51=1, 3,IF(Eingabeparameter!$C$51=2, 6,IF(Eingabeparameter!$C$51=3, 5)))</f>
        <v>5</v>
      </c>
      <c r="E93" s="954"/>
      <c r="F93" s="19">
        <f>Übersicht!C13*D93</f>
        <v>7225</v>
      </c>
      <c r="G93" s="4"/>
      <c r="H93" s="4"/>
      <c r="I93" s="4"/>
      <c r="J93" s="1"/>
      <c r="M93" s="4"/>
    </row>
    <row r="94" spans="2:13" x14ac:dyDescent="0.2">
      <c r="B94" s="18" t="s">
        <v>334</v>
      </c>
      <c r="C94" s="42">
        <f>Übersicht!C14</f>
        <v>2299</v>
      </c>
      <c r="D94" s="134">
        <f>IF(Eingabeparameter!$C$51=1, 2,IF(Eingabeparameter!$C$51=2, 4,IF(Eingabeparameter!$C$51=3, 3)))</f>
        <v>3</v>
      </c>
      <c r="E94" s="954"/>
      <c r="F94" s="19">
        <f>Übersicht!C14*D94</f>
        <v>6897</v>
      </c>
      <c r="G94" s="4"/>
      <c r="J94" s="1"/>
      <c r="M94" s="4"/>
    </row>
    <row r="95" spans="2:13" x14ac:dyDescent="0.2">
      <c r="B95" s="18" t="s">
        <v>349</v>
      </c>
      <c r="C95" s="42">
        <f>Übersicht!C15</f>
        <v>27</v>
      </c>
      <c r="D95" s="134">
        <f>1</f>
        <v>1</v>
      </c>
      <c r="E95" s="954"/>
      <c r="F95" s="19">
        <f>Übersicht!C15*D95</f>
        <v>27</v>
      </c>
      <c r="G95" s="4"/>
      <c r="J95" s="1"/>
      <c r="M95" s="4"/>
    </row>
    <row r="96" spans="2:13" x14ac:dyDescent="0.2">
      <c r="B96" s="18" t="s">
        <v>335</v>
      </c>
      <c r="C96" s="42">
        <f>Übersicht!C16</f>
        <v>4</v>
      </c>
      <c r="D96" s="134">
        <f>1</f>
        <v>1</v>
      </c>
      <c r="E96" s="954"/>
      <c r="F96" s="19">
        <f>Übersicht!C16*D96</f>
        <v>4</v>
      </c>
      <c r="G96" s="4"/>
      <c r="J96" s="1"/>
      <c r="M96" s="4"/>
    </row>
    <row r="97" spans="2:13" ht="15.75" thickBot="1" x14ac:dyDescent="0.3">
      <c r="B97" s="22"/>
      <c r="C97" s="54">
        <f>SUM(C93:C96)</f>
        <v>3775</v>
      </c>
      <c r="D97" s="55"/>
      <c r="E97" s="56">
        <f>ROUND(IF($C$50=1,(F97*(1+C54)), IF($C$50=2,C97*(1+C54))),0)</f>
        <v>14153</v>
      </c>
      <c r="F97" s="57">
        <f>SUM(F93:F96)</f>
        <v>14153</v>
      </c>
      <c r="G97" s="4"/>
      <c r="J97" s="1"/>
      <c r="M97" s="4"/>
    </row>
    <row r="98" spans="2:13" ht="45" x14ac:dyDescent="0.2">
      <c r="B98" s="810" t="s">
        <v>667</v>
      </c>
      <c r="C98" s="811"/>
      <c r="D98" s="812"/>
      <c r="E98" s="812"/>
      <c r="F98" s="813"/>
      <c r="G98" s="4"/>
      <c r="J98" s="1"/>
      <c r="M98" s="4"/>
    </row>
    <row r="99" spans="2:13" x14ac:dyDescent="0.2">
      <c r="B99" s="20" t="s">
        <v>333</v>
      </c>
      <c r="C99" s="42">
        <f>Übersicht!C19</f>
        <v>50</v>
      </c>
      <c r="D99" s="134">
        <f>IF(Eingabeparameter!$C$51=1, 3,IF(Eingabeparameter!$C$51=2, 6,IF(Eingabeparameter!$C$51=3,5)))</f>
        <v>5</v>
      </c>
      <c r="E99" s="954"/>
      <c r="F99" s="21">
        <f>Übersicht!C19*D99</f>
        <v>250</v>
      </c>
      <c r="G99" s="4"/>
      <c r="J99" s="1"/>
      <c r="M99" s="4"/>
    </row>
    <row r="100" spans="2:13" x14ac:dyDescent="0.2">
      <c r="B100" s="18" t="s">
        <v>336</v>
      </c>
      <c r="C100" s="42">
        <f>Übersicht!C20</f>
        <v>102</v>
      </c>
      <c r="D100" s="134">
        <f>IF(Eingabeparameter!$C$51=1, 4,IF(Eingabeparameter!$C$51=2, 8,IF(Eingabeparameter!$C$51=3,7)))</f>
        <v>7</v>
      </c>
      <c r="E100" s="954"/>
      <c r="F100" s="21">
        <f>Übersicht!C20*D100</f>
        <v>714</v>
      </c>
      <c r="G100" s="4"/>
      <c r="J100" s="1"/>
      <c r="M100" s="4"/>
    </row>
    <row r="101" spans="2:13" x14ac:dyDescent="0.2">
      <c r="B101" s="18" t="s">
        <v>337</v>
      </c>
      <c r="C101" s="42">
        <f>Übersicht!C21</f>
        <v>29</v>
      </c>
      <c r="D101" s="134">
        <f>IF(Eingabeparameter!$C$51=1, 5,IF(Eingabeparameter!$C$51=2, 10,IF(Eingabeparameter!$C$51=3,9)))</f>
        <v>9</v>
      </c>
      <c r="E101" s="954"/>
      <c r="F101" s="21">
        <f>Übersicht!C21*D101</f>
        <v>261</v>
      </c>
      <c r="G101" s="4"/>
      <c r="J101" s="1"/>
      <c r="M101" s="4"/>
    </row>
    <row r="102" spans="2:13" x14ac:dyDescent="0.2">
      <c r="B102" s="18" t="s">
        <v>338</v>
      </c>
      <c r="C102" s="42">
        <f>Übersicht!C22</f>
        <v>170</v>
      </c>
      <c r="D102" s="134">
        <f>IF(Eingabeparameter!$C$51=1, 6,IF(Eingabeparameter!$C$51=2, 12,IF(Eingabeparameter!$C$51=3, 11)))</f>
        <v>11</v>
      </c>
      <c r="E102" s="954"/>
      <c r="F102" s="21">
        <f>Übersicht!C22*D102</f>
        <v>1870</v>
      </c>
      <c r="G102" s="4"/>
      <c r="J102" s="1"/>
      <c r="K102" s="4"/>
    </row>
    <row r="103" spans="2:13" ht="14.25" customHeight="1" x14ac:dyDescent="0.2">
      <c r="B103" s="18" t="s">
        <v>339</v>
      </c>
      <c r="C103" s="42">
        <f>Übersicht!C23</f>
        <v>378</v>
      </c>
      <c r="D103" s="134">
        <f>IF(Eingabeparameter!$C$51=1, 8,IF(Eingabeparameter!$C$51=2, 16,IF(Eingabeparameter!$C$51=3, 15)))</f>
        <v>15</v>
      </c>
      <c r="E103" s="954"/>
      <c r="F103" s="21">
        <f>Übersicht!C23*D103</f>
        <v>5670</v>
      </c>
      <c r="G103" s="4"/>
    </row>
    <row r="104" spans="2:13" ht="15" customHeight="1" x14ac:dyDescent="0.2">
      <c r="B104" s="18" t="s">
        <v>340</v>
      </c>
      <c r="C104" s="42">
        <f>Übersicht!C24</f>
        <v>221</v>
      </c>
      <c r="D104" s="134">
        <f>IF(Eingabeparameter!$C$51=1, 10,IF(Eingabeparameter!$C$51=2, 20,IF(Eingabeparameter!$C$51=3, 19)))</f>
        <v>19</v>
      </c>
      <c r="E104" s="954"/>
      <c r="F104" s="21">
        <f>Übersicht!C24*D104</f>
        <v>4199</v>
      </c>
      <c r="G104" s="4"/>
    </row>
    <row r="105" spans="2:13" ht="15.75" thickBot="1" x14ac:dyDescent="0.3">
      <c r="B105" s="22"/>
      <c r="C105" s="54">
        <f>SUM(C99:C104)</f>
        <v>950</v>
      </c>
      <c r="D105" s="55"/>
      <c r="E105" s="56">
        <f>ROUND(IF($C$50=1,(F105*(1+C54)), IF($C$50=2,C105*(1+C54))),0)</f>
        <v>12964</v>
      </c>
      <c r="F105" s="57">
        <f>SUM(F99:F104)</f>
        <v>12964</v>
      </c>
      <c r="G105" s="4"/>
    </row>
  </sheetData>
  <sheetProtection sheet="1" objects="1" scenarios="1"/>
  <mergeCells count="32">
    <mergeCell ref="B1:C1"/>
    <mergeCell ref="I2:I3"/>
    <mergeCell ref="H1:I1"/>
    <mergeCell ref="H2:H3"/>
    <mergeCell ref="B2:B3"/>
    <mergeCell ref="C2:C3"/>
    <mergeCell ref="D2:D3"/>
    <mergeCell ref="E2:E3"/>
    <mergeCell ref="F1:F3"/>
    <mergeCell ref="G1:G3"/>
    <mergeCell ref="E93:E96"/>
    <mergeCell ref="E99:E104"/>
    <mergeCell ref="B56:F56"/>
    <mergeCell ref="B91:F91"/>
    <mergeCell ref="B67:C67"/>
    <mergeCell ref="B78:C78"/>
    <mergeCell ref="B82:C82"/>
    <mergeCell ref="B37:E37"/>
    <mergeCell ref="B45:F45"/>
    <mergeCell ref="G62:I62"/>
    <mergeCell ref="E26:G26"/>
    <mergeCell ref="B33:B34"/>
    <mergeCell ref="C33:C34"/>
    <mergeCell ref="E27:F28"/>
    <mergeCell ref="D27:D28"/>
    <mergeCell ref="E29:F29"/>
    <mergeCell ref="E30:F30"/>
    <mergeCell ref="B27:B28"/>
    <mergeCell ref="C27:C28"/>
    <mergeCell ref="G27:G28"/>
    <mergeCell ref="D33:D34"/>
    <mergeCell ref="B32:D32"/>
  </mergeCells>
  <dataValidations count="2">
    <dataValidation type="list" allowBlank="1" showInputMessage="1" showErrorMessage="1" sqref="C51:C52">
      <formula1>Variante3</formula1>
    </dataValidation>
    <dataValidation type="list" allowBlank="1" showInputMessage="1" showErrorMessage="1" sqref="C50">
      <formula1>Variante</formula1>
    </dataValidation>
  </dataValidations>
  <printOptions horizontalCentered="1" verticalCentered="1"/>
  <pageMargins left="0.70866141732283472" right="0.70866141732283472" top="0.98425196850393704" bottom="0.78740157480314965" header="0.31496062992125984" footer="0.31496062992125984"/>
  <pageSetup paperSize="8" scale="59" orientation="portrait"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Q40"/>
  <sheetViews>
    <sheetView zoomScale="85" zoomScaleNormal="85" zoomScaleSheetLayoutView="85" zoomScalePageLayoutView="70" workbookViewId="0">
      <selection activeCell="D3" sqref="D3"/>
    </sheetView>
  </sheetViews>
  <sheetFormatPr baseColWidth="10" defaultColWidth="11.42578125" defaultRowHeight="12.75" x14ac:dyDescent="0.2"/>
  <cols>
    <col min="1" max="1" width="33" style="323" bestFit="1" customWidth="1"/>
    <col min="2" max="2" width="16.5703125" style="300" bestFit="1" customWidth="1"/>
    <col min="3" max="16" width="15.42578125" style="300" bestFit="1" customWidth="1"/>
    <col min="17" max="17" width="16.7109375" style="300" bestFit="1" customWidth="1"/>
    <col min="18" max="16384" width="11.42578125" style="300"/>
  </cols>
  <sheetData>
    <row r="1" spans="1:17" ht="15" x14ac:dyDescent="0.2">
      <c r="A1" s="297" t="s">
        <v>437</v>
      </c>
      <c r="B1" s="298">
        <v>1</v>
      </c>
      <c r="C1" s="298">
        <v>2</v>
      </c>
      <c r="D1" s="298">
        <v>3</v>
      </c>
      <c r="E1" s="298">
        <v>4</v>
      </c>
      <c r="F1" s="298">
        <v>5</v>
      </c>
      <c r="G1" s="298">
        <v>6</v>
      </c>
      <c r="H1" s="298">
        <v>7</v>
      </c>
      <c r="I1" s="298">
        <v>8</v>
      </c>
      <c r="J1" s="298">
        <v>9</v>
      </c>
      <c r="K1" s="298">
        <v>10</v>
      </c>
      <c r="L1" s="298">
        <v>11</v>
      </c>
      <c r="M1" s="298">
        <v>12</v>
      </c>
      <c r="N1" s="298">
        <v>13</v>
      </c>
      <c r="O1" s="298">
        <v>14</v>
      </c>
      <c r="P1" s="298">
        <v>15</v>
      </c>
      <c r="Q1" s="299" t="s">
        <v>724</v>
      </c>
    </row>
    <row r="2" spans="1:17" ht="15" x14ac:dyDescent="0.2">
      <c r="A2" s="297"/>
      <c r="B2" s="324"/>
      <c r="C2" s="324"/>
      <c r="D2" s="324"/>
      <c r="E2" s="324"/>
      <c r="F2" s="324"/>
      <c r="G2" s="324"/>
      <c r="H2" s="324"/>
      <c r="I2" s="324"/>
      <c r="J2" s="324"/>
      <c r="K2" s="324"/>
      <c r="L2" s="324"/>
      <c r="M2" s="324"/>
      <c r="N2" s="324"/>
      <c r="O2" s="324"/>
      <c r="P2" s="324"/>
      <c r="Q2" s="299"/>
    </row>
    <row r="3" spans="1:17" s="304" customFormat="1" ht="54.75" customHeight="1" x14ac:dyDescent="0.25">
      <c r="A3" s="301" t="s">
        <v>682</v>
      </c>
      <c r="B3" s="302">
        <f>'Gesamtkosten incl. WBK'!D51</f>
        <v>84266173.131325617</v>
      </c>
      <c r="C3" s="302">
        <f>'Gesamtkosten incl. WBK'!E51</f>
        <v>83950457.474138156</v>
      </c>
      <c r="D3" s="302">
        <f>'Gesamtkosten incl. WBK'!F51</f>
        <v>83625270.347235069</v>
      </c>
      <c r="E3" s="302">
        <f>'Gesamtkosten incl. WBK'!G51</f>
        <v>83329357.606524885</v>
      </c>
      <c r="F3" s="302">
        <f>'Gesamtkosten incl. WBK'!H51</f>
        <v>82984366.583593413</v>
      </c>
      <c r="G3" s="302">
        <f>'Gesamtkosten incl. WBK'!I51</f>
        <v>82705976.579973981</v>
      </c>
      <c r="H3" s="302">
        <f>'Gesamtkosten incl. WBK'!J51</f>
        <v>82379005.603745967</v>
      </c>
      <c r="I3" s="302">
        <f>'Gesamtkosten incl. WBK'!K51</f>
        <v>82002024.598231122</v>
      </c>
      <c r="J3" s="302">
        <f>'Gesamtkosten incl. WBK'!L51</f>
        <v>81613734.162550822</v>
      </c>
      <c r="K3" s="302">
        <f>'Gesamtkosten incl. WBK'!M51</f>
        <v>83563284.013800129</v>
      </c>
      <c r="L3" s="302">
        <f>'Gesamtkosten incl. WBK'!N51</f>
        <v>83228297.440586895</v>
      </c>
      <c r="M3" s="302">
        <f>'Gesamtkosten incl. WBK'!O51</f>
        <v>82804001.997677281</v>
      </c>
      <c r="N3" s="302">
        <f>'Gesamtkosten incl. WBK'!P51</f>
        <v>82406007.691480368</v>
      </c>
      <c r="O3" s="302">
        <f>'Gesamtkosten incl. WBK'!Q51</f>
        <v>81955872.656097546</v>
      </c>
      <c r="P3" s="302">
        <f>'Gesamtkosten incl. WBK'!R51</f>
        <v>81492233.569653243</v>
      </c>
      <c r="Q3" s="303">
        <f>SUM(B3:P3)</f>
        <v>1242306063.4566147</v>
      </c>
    </row>
    <row r="4" spans="1:17" s="304" customFormat="1" ht="54.75" customHeight="1" x14ac:dyDescent="0.25">
      <c r="A4" s="305" t="s">
        <v>640</v>
      </c>
      <c r="B4" s="306">
        <f>Übersicht!C78+Übersicht!C78*Übersicht!$C$70+Übersicht!C71+Übersicht!C72+Übersicht!C78*Übersicht!C73+Übersicht!C74+Übersicht!C69</f>
        <v>1161966692.9330001</v>
      </c>
      <c r="C4" s="306">
        <f>B4-'Mehrerlöse CRM, sonstiges'!G10+B4*Übersicht!$C$70+'Mehrerlöse CRM, sonstiges'!G11</f>
        <v>1161966692.9330001</v>
      </c>
      <c r="D4" s="306">
        <f>C4+C4*Übersicht!$C$70</f>
        <v>1161966692.9330001</v>
      </c>
      <c r="E4" s="306">
        <f>D4+D4*Übersicht!$C$70</f>
        <v>1161966692.9330001</v>
      </c>
      <c r="F4" s="306">
        <f>E4+E4*Übersicht!$C$70</f>
        <v>1161966692.9330001</v>
      </c>
      <c r="G4" s="306">
        <f>F4+F4*Übersicht!$C$70</f>
        <v>1161966692.9330001</v>
      </c>
      <c r="H4" s="306">
        <f>G4+G4*Übersicht!$C$70</f>
        <v>1161966692.9330001</v>
      </c>
      <c r="I4" s="306">
        <f>H4+H4*Übersicht!$C$70</f>
        <v>1161966692.9330001</v>
      </c>
      <c r="J4" s="306">
        <f>I4+I4*Übersicht!$C$70</f>
        <v>1161966692.9330001</v>
      </c>
      <c r="K4" s="306">
        <f>J4+J4*Übersicht!$C$70</f>
        <v>1161966692.9330001</v>
      </c>
      <c r="L4" s="306">
        <f>K4+K4*Übersicht!$C$70</f>
        <v>1161966692.9330001</v>
      </c>
      <c r="M4" s="306">
        <f>L4+L4*Übersicht!$C$70</f>
        <v>1161966692.9330001</v>
      </c>
      <c r="N4" s="306">
        <f>M4+M4*Übersicht!$C$70</f>
        <v>1161966692.9330001</v>
      </c>
      <c r="O4" s="306">
        <f>N4+N4*Übersicht!$C$70</f>
        <v>1161966692.9330001</v>
      </c>
      <c r="P4" s="306">
        <f>O4+O4*Übersicht!$C$70</f>
        <v>1161966692.9330001</v>
      </c>
      <c r="Q4" s="307">
        <f>SUM(B4:P4)</f>
        <v>17429500393.995007</v>
      </c>
    </row>
    <row r="5" spans="1:17" s="304" customFormat="1" ht="54.75" customHeight="1" x14ac:dyDescent="0.25">
      <c r="A5" s="308" t="s">
        <v>677</v>
      </c>
      <c r="B5" s="309">
        <f>Übersicht!$C$78</f>
        <v>1089975613</v>
      </c>
      <c r="C5" s="309">
        <f>Übersicht!$C$78</f>
        <v>1089975613</v>
      </c>
      <c r="D5" s="309">
        <f>Übersicht!$C$78</f>
        <v>1089975613</v>
      </c>
      <c r="E5" s="309">
        <f>Übersicht!$C$78</f>
        <v>1089975613</v>
      </c>
      <c r="F5" s="309">
        <f>Übersicht!$C$78</f>
        <v>1089975613</v>
      </c>
      <c r="G5" s="309">
        <f>Übersicht!$C$78</f>
        <v>1089975613</v>
      </c>
      <c r="H5" s="309">
        <f>Übersicht!$C$78</f>
        <v>1089975613</v>
      </c>
      <c r="I5" s="309">
        <f>Übersicht!$C$78</f>
        <v>1089975613</v>
      </c>
      <c r="J5" s="309">
        <f>Übersicht!$C$78</f>
        <v>1089975613</v>
      </c>
      <c r="K5" s="309">
        <f>Übersicht!$C$78</f>
        <v>1089975613</v>
      </c>
      <c r="L5" s="309">
        <f>Übersicht!$C$78</f>
        <v>1089975613</v>
      </c>
      <c r="M5" s="309">
        <f>Übersicht!$C$78</f>
        <v>1089975613</v>
      </c>
      <c r="N5" s="309">
        <f>Übersicht!$C$78</f>
        <v>1089975613</v>
      </c>
      <c r="O5" s="309">
        <f>Übersicht!$C$78</f>
        <v>1089975613</v>
      </c>
      <c r="P5" s="309">
        <f>Übersicht!$C$78</f>
        <v>1089975613</v>
      </c>
      <c r="Q5" s="310"/>
    </row>
    <row r="6" spans="1:17" s="304" customFormat="1" ht="54.75" customHeight="1" x14ac:dyDescent="0.25">
      <c r="A6" s="301" t="s">
        <v>440</v>
      </c>
      <c r="B6" s="311">
        <f>B3/B4</f>
        <v>7.2520299974023844E-2</v>
      </c>
      <c r="C6" s="311">
        <f t="shared" ref="C6:P6" si="0">C3/C4</f>
        <v>7.2248591964570882E-2</v>
      </c>
      <c r="D6" s="311">
        <f t="shared" si="0"/>
        <v>7.1968732714834338E-2</v>
      </c>
      <c r="E6" s="311">
        <f t="shared" si="0"/>
        <v>7.1714067290678973E-2</v>
      </c>
      <c r="F6" s="311">
        <f t="shared" si="0"/>
        <v>7.1417164612633491E-2</v>
      </c>
      <c r="G6" s="311">
        <f t="shared" si="0"/>
        <v>7.117757942889924E-2</v>
      </c>
      <c r="H6" s="311">
        <f t="shared" si="0"/>
        <v>7.089618498083404E-2</v>
      </c>
      <c r="I6" s="311">
        <f t="shared" si="0"/>
        <v>7.0571751408161423E-2</v>
      </c>
      <c r="J6" s="311">
        <f t="shared" si="0"/>
        <v>7.0237584828308608E-2</v>
      </c>
      <c r="K6" s="311">
        <f t="shared" si="0"/>
        <v>7.1915386664717806E-2</v>
      </c>
      <c r="L6" s="311">
        <f t="shared" si="0"/>
        <v>7.1627093914804582E-2</v>
      </c>
      <c r="M6" s="311">
        <f t="shared" si="0"/>
        <v>7.1261941070501766E-2</v>
      </c>
      <c r="N6" s="311">
        <f t="shared" si="0"/>
        <v>7.0919423243943153E-2</v>
      </c>
      <c r="O6" s="311">
        <f t="shared" si="0"/>
        <v>7.0532032591422295E-2</v>
      </c>
      <c r="P6" s="311">
        <f t="shared" si="0"/>
        <v>7.0133020219325812E-2</v>
      </c>
      <c r="Q6" s="312">
        <f>Q3/Q4</f>
        <v>7.1276056993844011E-2</v>
      </c>
    </row>
    <row r="7" spans="1:17" s="304" customFormat="1" ht="54.75" customHeight="1" x14ac:dyDescent="0.25">
      <c r="A7" s="308" t="s">
        <v>678</v>
      </c>
      <c r="B7" s="313">
        <f>Übersicht!$C$77</f>
        <v>0.1</v>
      </c>
      <c r="C7" s="313">
        <f>Übersicht!$C$77</f>
        <v>0.1</v>
      </c>
      <c r="D7" s="313">
        <f>Übersicht!$C$77</f>
        <v>0.1</v>
      </c>
      <c r="E7" s="313">
        <f>Übersicht!$C$77</f>
        <v>0.1</v>
      </c>
      <c r="F7" s="313">
        <f>Übersicht!$C$77</f>
        <v>0.1</v>
      </c>
      <c r="G7" s="313">
        <f>Übersicht!$C$77</f>
        <v>0.1</v>
      </c>
      <c r="H7" s="313">
        <f>Übersicht!$C$77</f>
        <v>0.1</v>
      </c>
      <c r="I7" s="313">
        <f>Übersicht!$C$77</f>
        <v>0.1</v>
      </c>
      <c r="J7" s="313">
        <f>Übersicht!$C$77</f>
        <v>0.1</v>
      </c>
      <c r="K7" s="313">
        <f>Übersicht!$C$77</f>
        <v>0.1</v>
      </c>
      <c r="L7" s="313">
        <f>Übersicht!$C$77</f>
        <v>0.1</v>
      </c>
      <c r="M7" s="313">
        <f>Übersicht!$C$77</f>
        <v>0.1</v>
      </c>
      <c r="N7" s="313">
        <f>Übersicht!$C$77</f>
        <v>0.1</v>
      </c>
      <c r="O7" s="313">
        <f>Übersicht!$C$77</f>
        <v>0.1</v>
      </c>
      <c r="P7" s="313">
        <f>Übersicht!$C$77</f>
        <v>0.1</v>
      </c>
    </row>
    <row r="8" spans="1:17" s="304" customFormat="1" ht="54.75" customHeight="1" x14ac:dyDescent="0.25">
      <c r="A8" s="308" t="s">
        <v>675</v>
      </c>
      <c r="B8" s="309">
        <f>B7*B5</f>
        <v>108997561.30000001</v>
      </c>
      <c r="C8" s="309">
        <f t="shared" ref="C8:P8" si="1">C7*C5</f>
        <v>108997561.30000001</v>
      </c>
      <c r="D8" s="309">
        <f t="shared" si="1"/>
        <v>108997561.30000001</v>
      </c>
      <c r="E8" s="309">
        <f t="shared" si="1"/>
        <v>108997561.30000001</v>
      </c>
      <c r="F8" s="309">
        <f t="shared" si="1"/>
        <v>108997561.30000001</v>
      </c>
      <c r="G8" s="309">
        <f t="shared" si="1"/>
        <v>108997561.30000001</v>
      </c>
      <c r="H8" s="309">
        <f t="shared" si="1"/>
        <v>108997561.30000001</v>
      </c>
      <c r="I8" s="309">
        <f t="shared" si="1"/>
        <v>108997561.30000001</v>
      </c>
      <c r="J8" s="309">
        <f t="shared" si="1"/>
        <v>108997561.30000001</v>
      </c>
      <c r="K8" s="309">
        <f t="shared" si="1"/>
        <v>108997561.30000001</v>
      </c>
      <c r="L8" s="309">
        <f t="shared" si="1"/>
        <v>108997561.30000001</v>
      </c>
      <c r="M8" s="309">
        <f t="shared" si="1"/>
        <v>108997561.30000001</v>
      </c>
      <c r="N8" s="309">
        <f t="shared" si="1"/>
        <v>108997561.30000001</v>
      </c>
      <c r="O8" s="309">
        <f t="shared" si="1"/>
        <v>108997561.30000001</v>
      </c>
      <c r="P8" s="309">
        <f t="shared" si="1"/>
        <v>108997561.30000001</v>
      </c>
      <c r="Q8" s="307">
        <f>SUM(B8:P8)</f>
        <v>1634963419.4999995</v>
      </c>
    </row>
    <row r="9" spans="1:17" s="304" customFormat="1" ht="54.75" customHeight="1" x14ac:dyDescent="0.25">
      <c r="A9" s="314" t="s">
        <v>676</v>
      </c>
      <c r="B9" s="315">
        <f>B8-B3</f>
        <v>24731388.168674394</v>
      </c>
      <c r="C9" s="315">
        <f t="shared" ref="C9:P9" si="2">C8-C3</f>
        <v>25047103.825861856</v>
      </c>
      <c r="D9" s="315">
        <f t="shared" si="2"/>
        <v>25372290.952764943</v>
      </c>
      <c r="E9" s="315">
        <f t="shared" si="2"/>
        <v>25668203.693475127</v>
      </c>
      <c r="F9" s="315">
        <f t="shared" si="2"/>
        <v>26013194.716406599</v>
      </c>
      <c r="G9" s="315">
        <f t="shared" si="2"/>
        <v>26291584.720026031</v>
      </c>
      <c r="H9" s="315">
        <f t="shared" si="2"/>
        <v>26618555.696254045</v>
      </c>
      <c r="I9" s="315">
        <f t="shared" si="2"/>
        <v>26995536.70176889</v>
      </c>
      <c r="J9" s="315">
        <f t="shared" si="2"/>
        <v>27383827.13744919</v>
      </c>
      <c r="K9" s="315">
        <f t="shared" si="2"/>
        <v>25434277.286199883</v>
      </c>
      <c r="L9" s="315">
        <f t="shared" si="2"/>
        <v>25769263.859413117</v>
      </c>
      <c r="M9" s="315">
        <f t="shared" si="2"/>
        <v>26193559.30232273</v>
      </c>
      <c r="N9" s="315">
        <f t="shared" si="2"/>
        <v>26591553.608519644</v>
      </c>
      <c r="O9" s="315">
        <f t="shared" si="2"/>
        <v>27041688.643902466</v>
      </c>
      <c r="P9" s="315">
        <f t="shared" si="2"/>
        <v>27505327.730346769</v>
      </c>
      <c r="Q9" s="307">
        <f>SUM(B9:P9)</f>
        <v>392657356.04338574</v>
      </c>
    </row>
    <row r="10" spans="1:17" s="304" customFormat="1" ht="54.75" hidden="1" customHeight="1" x14ac:dyDescent="0.25">
      <c r="A10" s="316" t="s">
        <v>438</v>
      </c>
      <c r="B10" s="317">
        <f t="shared" ref="B10:P10" si="3">PV(($B14*B1),1,-B9,0,0)</f>
        <v>24011056.474441182</v>
      </c>
      <c r="C10" s="317">
        <f t="shared" si="3"/>
        <v>23629343.231945168</v>
      </c>
      <c r="D10" s="317">
        <f t="shared" si="3"/>
        <v>23277331.149325654</v>
      </c>
      <c r="E10" s="317">
        <f t="shared" si="3"/>
        <v>22918039.01203138</v>
      </c>
      <c r="F10" s="317">
        <f t="shared" si="3"/>
        <v>22620169.318614423</v>
      </c>
      <c r="G10" s="317">
        <f t="shared" si="3"/>
        <v>22281004.000022054</v>
      </c>
      <c r="H10" s="317">
        <f t="shared" si="3"/>
        <v>21998806.360540532</v>
      </c>
      <c r="I10" s="317">
        <f t="shared" si="3"/>
        <v>21770594.114329752</v>
      </c>
      <c r="J10" s="317">
        <f t="shared" si="3"/>
        <v>21562068.612164717</v>
      </c>
      <c r="K10" s="317">
        <f t="shared" si="3"/>
        <v>19564828.681692224</v>
      </c>
      <c r="L10" s="317">
        <f t="shared" si="3"/>
        <v>19375386.360460997</v>
      </c>
      <c r="M10" s="317">
        <f t="shared" si="3"/>
        <v>19259970.075237297</v>
      </c>
      <c r="N10" s="317">
        <f t="shared" si="3"/>
        <v>19130614.106848668</v>
      </c>
      <c r="O10" s="317">
        <f t="shared" si="3"/>
        <v>19043442.706973564</v>
      </c>
      <c r="P10" s="317">
        <f t="shared" si="3"/>
        <v>18969191.538170185</v>
      </c>
      <c r="Q10" s="318"/>
    </row>
    <row r="11" spans="1:17" s="304" customFormat="1" ht="54.75" hidden="1" customHeight="1" x14ac:dyDescent="0.25">
      <c r="A11" s="316" t="s">
        <v>439</v>
      </c>
      <c r="B11" s="317">
        <f>B10</f>
        <v>24011056.474441182</v>
      </c>
      <c r="C11" s="317">
        <f t="shared" ref="C11:P11" si="4">C10+B11</f>
        <v>47640399.70638635</v>
      </c>
      <c r="D11" s="317">
        <f t="shared" si="4"/>
        <v>70917730.855711997</v>
      </c>
      <c r="E11" s="317">
        <f t="shared" si="4"/>
        <v>93835769.867743373</v>
      </c>
      <c r="F11" s="317">
        <f t="shared" si="4"/>
        <v>116455939.1863578</v>
      </c>
      <c r="G11" s="317">
        <f t="shared" si="4"/>
        <v>138736943.18637985</v>
      </c>
      <c r="H11" s="317">
        <f t="shared" si="4"/>
        <v>160735749.54692039</v>
      </c>
      <c r="I11" s="317">
        <f t="shared" si="4"/>
        <v>182506343.66125014</v>
      </c>
      <c r="J11" s="317">
        <f t="shared" si="4"/>
        <v>204068412.27341485</v>
      </c>
      <c r="K11" s="317">
        <f t="shared" si="4"/>
        <v>223633240.95510706</v>
      </c>
      <c r="L11" s="317">
        <f t="shared" si="4"/>
        <v>243008627.31556806</v>
      </c>
      <c r="M11" s="317">
        <f t="shared" si="4"/>
        <v>262268597.39080536</v>
      </c>
      <c r="N11" s="317">
        <f t="shared" si="4"/>
        <v>281399211.49765402</v>
      </c>
      <c r="O11" s="317">
        <f t="shared" si="4"/>
        <v>300442654.20462757</v>
      </c>
      <c r="P11" s="317">
        <f t="shared" si="4"/>
        <v>319411845.74279773</v>
      </c>
      <c r="Q11" s="318"/>
    </row>
    <row r="12" spans="1:17" s="304" customFormat="1" ht="54.75" hidden="1" customHeight="1" x14ac:dyDescent="0.25">
      <c r="A12" s="316" t="s">
        <v>460</v>
      </c>
      <c r="B12" s="317">
        <f>NPV($B14,B9)</f>
        <v>24011056.47444116</v>
      </c>
      <c r="C12" s="317">
        <f>NPV($B14,B9,C9)</f>
        <v>47620354.076346956</v>
      </c>
      <c r="D12" s="317">
        <f>NPV($B14,B9,C9,D9)</f>
        <v>70839594.520451427</v>
      </c>
      <c r="E12" s="317">
        <f>NPV($B14,B9,C9,D9,E9)</f>
        <v>93645461.045365721</v>
      </c>
      <c r="F12" s="317">
        <f>NPV($B14,B9,C9,D9,E9,F9)</f>
        <v>116084671.31763378</v>
      </c>
      <c r="G12" s="317">
        <f>NPV($B14,B9,C9,D9,E9,F9,G9)</f>
        <v>138103459.6039201</v>
      </c>
      <c r="H12" s="317">
        <f>NPV($B14,B9,C9,D9,E9,F9,G9,H9)</f>
        <v>159746781.28476456</v>
      </c>
      <c r="I12" s="317">
        <f>NPV($B14,B9,C9,D9,E9,F9,G9,H9,I9)</f>
        <v>181057307.24240169</v>
      </c>
      <c r="J12" s="317">
        <f>NPV($B14,B9,C9,D9,E9,F9,G9,H9,I9,J9)</f>
        <v>202044730.55614823</v>
      </c>
      <c r="K12" s="317">
        <f>NPV($B14,B9,C9,D9,E9,F9,G9,H9,I9,J9,K9)</f>
        <v>220970221.51460555</v>
      </c>
      <c r="L12" s="317">
        <f>NPV($B14,B9,C9,D9,E9,F9,G9,H9,I9,J9,K9,L9)</f>
        <v>239586486.00893313</v>
      </c>
      <c r="M12" s="317">
        <f>NPV($B14,B9,C9,D9,E9,F9,G9,H9,I9,J9,K9,L9,M9)</f>
        <v>257958121.49422377</v>
      </c>
      <c r="N12" s="317">
        <f>NPV($B14,B9,C9,D9,E9,F9,G9,H9,I9,J9,K9,L9,M9,N9)</f>
        <v>276065675.55644566</v>
      </c>
      <c r="O12" s="317">
        <f>NPV($B14,B9,C9,D9,E9,F9,G9,H9,I9,J9,K9,L9,M9,N9,O9)</f>
        <v>293943417.4183327</v>
      </c>
      <c r="P12" s="317">
        <f>NPV($B14,B9,C9,D9,E9,F9,G9,H9,I9,J9,K9,L9,M9,N9,O9,P9)</f>
        <v>311598040.63911802</v>
      </c>
      <c r="Q12" s="318"/>
    </row>
    <row r="13" spans="1:17" s="304" customFormat="1" ht="54.75" hidden="1" customHeight="1" x14ac:dyDescent="0.25">
      <c r="A13" s="316" t="s">
        <v>691</v>
      </c>
      <c r="B13" s="317">
        <f>NPV($B14,0,B9)</f>
        <v>23311705.314991415</v>
      </c>
      <c r="C13" s="317">
        <f>NPV($B14,0,B9,C9)</f>
        <v>46233353.472181499</v>
      </c>
      <c r="D13" s="317">
        <f>NPV($B14,0,B9,C9,D9)</f>
        <v>68776305.359661564</v>
      </c>
      <c r="E13" s="317">
        <f>NPV($B14,0,B9,C9,D9,E9)</f>
        <v>90917923.345015243</v>
      </c>
      <c r="F13" s="317">
        <f>NPV($B14,0,B9,C9,D9,E9,F9)</f>
        <v>112703564.38605219</v>
      </c>
      <c r="G13" s="317">
        <f>NPV($B14,0,B9,C9,D9,E9,F9,G9)</f>
        <v>134081028.74167</v>
      </c>
      <c r="H13" s="317">
        <f>NPV($B14,0,B9,C9,D9,E9,F9,G9,H9)</f>
        <v>155093962.41239274</v>
      </c>
      <c r="I13" s="317">
        <f>NPV($B14,0,B9,C9,D9,E9,F9,G9,H9,I9)</f>
        <v>175783793.4392249</v>
      </c>
      <c r="J13" s="317">
        <f>NPV($B14,0,B9,C9,D9,E9,F9,G9,H9,I9,J9)</f>
        <v>196159932.57878464</v>
      </c>
      <c r="K13" s="317">
        <f>NPV($B14,0,B9,C9,D9,E9,F9,G9,H9,I9,J9,K9)</f>
        <v>214534195.64524809</v>
      </c>
      <c r="L13" s="317">
        <f>NPV($B14,0,B9,C9,D9,E9,F9,G9,H9,I9,J9,K9,L9)</f>
        <v>232608238.84362435</v>
      </c>
      <c r="M13" s="317">
        <f>NPV($B14,0,B9,C9,D9,E9,F9,G9,H9,I9,J9,K9,L9,M9)</f>
        <v>250444778.14973179</v>
      </c>
      <c r="N13" s="317">
        <f>NPV($B14,0,B9,C9,D9,E9,F9,G9,H9,I9,J9,K9,L9,M9,N9)</f>
        <v>268024927.72470444</v>
      </c>
      <c r="O13" s="317">
        <f>NPV($B14,0,B9,C9,D9,E9,F9,G9,H9,I9,J9,K9,L9,M9,N9,O9)</f>
        <v>285381958.65857536</v>
      </c>
      <c r="P13" s="317">
        <f>NPV($B14,0,B9,C9,D9,E9,F9,G9,H9,I9,J9,K9,L9,M9,N9,O9,P9)</f>
        <v>302522369.55254167</v>
      </c>
      <c r="Q13" s="318"/>
    </row>
    <row r="14" spans="1:17" ht="23.45" hidden="1" customHeight="1" x14ac:dyDescent="0.25">
      <c r="A14" s="319" t="s">
        <v>461</v>
      </c>
      <c r="B14" s="320">
        <f>Eingabeparameter!C89</f>
        <v>0.03</v>
      </c>
      <c r="C14" s="321"/>
    </row>
    <row r="15" spans="1:17" x14ac:dyDescent="0.2">
      <c r="A15" s="322"/>
    </row>
    <row r="16" spans="1:17" x14ac:dyDescent="0.2">
      <c r="A16" s="300"/>
    </row>
    <row r="17" spans="1:1" x14ac:dyDescent="0.2">
      <c r="A17" s="300"/>
    </row>
    <row r="18" spans="1:1" x14ac:dyDescent="0.2">
      <c r="A18" s="300"/>
    </row>
    <row r="19" spans="1:1" x14ac:dyDescent="0.2">
      <c r="A19" s="300"/>
    </row>
    <row r="20" spans="1:1" x14ac:dyDescent="0.2">
      <c r="A20" s="300"/>
    </row>
    <row r="21" spans="1:1" x14ac:dyDescent="0.2">
      <c r="A21" s="300"/>
    </row>
    <row r="22" spans="1:1" x14ac:dyDescent="0.2">
      <c r="A22" s="300"/>
    </row>
    <row r="23" spans="1:1" x14ac:dyDescent="0.2">
      <c r="A23" s="300"/>
    </row>
    <row r="24" spans="1:1" x14ac:dyDescent="0.2">
      <c r="A24" s="300"/>
    </row>
    <row r="25" spans="1:1" x14ac:dyDescent="0.2">
      <c r="A25" s="300"/>
    </row>
    <row r="26" spans="1:1" x14ac:dyDescent="0.2">
      <c r="A26" s="300"/>
    </row>
    <row r="27" spans="1:1" x14ac:dyDescent="0.2">
      <c r="A27" s="300"/>
    </row>
    <row r="28" spans="1:1" x14ac:dyDescent="0.2">
      <c r="A28" s="300"/>
    </row>
    <row r="29" spans="1:1" x14ac:dyDescent="0.2">
      <c r="A29" s="300"/>
    </row>
    <row r="30" spans="1:1" x14ac:dyDescent="0.2">
      <c r="A30" s="300"/>
    </row>
    <row r="31" spans="1:1" x14ac:dyDescent="0.2">
      <c r="A31" s="300"/>
    </row>
    <row r="32" spans="1:1" x14ac:dyDescent="0.2">
      <c r="A32" s="300"/>
    </row>
    <row r="33" spans="1:1" x14ac:dyDescent="0.2">
      <c r="A33" s="300"/>
    </row>
    <row r="34" spans="1:1" x14ac:dyDescent="0.2">
      <c r="A34" s="300"/>
    </row>
    <row r="35" spans="1:1" x14ac:dyDescent="0.2">
      <c r="A35" s="300"/>
    </row>
    <row r="36" spans="1:1" x14ac:dyDescent="0.2">
      <c r="A36" s="300"/>
    </row>
    <row r="37" spans="1:1" x14ac:dyDescent="0.2">
      <c r="A37" s="300"/>
    </row>
    <row r="38" spans="1:1" x14ac:dyDescent="0.2">
      <c r="A38" s="300"/>
    </row>
    <row r="39" spans="1:1" x14ac:dyDescent="0.2">
      <c r="A39" s="300"/>
    </row>
    <row r="40" spans="1:1" x14ac:dyDescent="0.2">
      <c r="A40" s="300"/>
    </row>
  </sheetData>
  <sheetProtection sheet="1" objects="1" scenarios="1"/>
  <printOptions horizontalCentered="1" verticalCentered="1"/>
  <pageMargins left="0.70866141732283472" right="0.70866141732283472" top="0.98425196850393704" bottom="0.78740157480314965" header="0.31496062992125984" footer="0.31496062992125984"/>
  <pageSetup paperSize="8" scale="68"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R40"/>
  <sheetViews>
    <sheetView zoomScale="85" zoomScaleNormal="85" zoomScaleSheetLayoutView="100" zoomScalePageLayoutView="70" workbookViewId="0">
      <selection activeCell="G15" sqref="G15"/>
    </sheetView>
  </sheetViews>
  <sheetFormatPr baseColWidth="10" defaultColWidth="11.42578125" defaultRowHeight="12.75" x14ac:dyDescent="0.2"/>
  <cols>
    <col min="1" max="1" width="33" style="323" bestFit="1" customWidth="1"/>
    <col min="2" max="2" width="20.5703125" style="300" customWidth="1"/>
    <col min="3" max="16" width="15.42578125" style="300" bestFit="1" customWidth="1"/>
    <col min="17" max="17" width="15.42578125" style="300" customWidth="1"/>
    <col min="18" max="18" width="16.7109375" style="300" bestFit="1" customWidth="1"/>
    <col min="19" max="16384" width="11.42578125" style="300"/>
  </cols>
  <sheetData>
    <row r="1" spans="1:18" ht="15" x14ac:dyDescent="0.2">
      <c r="A1" s="297" t="s">
        <v>437</v>
      </c>
      <c r="B1" s="325">
        <v>0</v>
      </c>
      <c r="C1" s="298">
        <v>1</v>
      </c>
      <c r="D1" s="298">
        <v>2</v>
      </c>
      <c r="E1" s="298">
        <v>3</v>
      </c>
      <c r="F1" s="298">
        <v>4</v>
      </c>
      <c r="G1" s="298">
        <v>5</v>
      </c>
      <c r="H1" s="298">
        <v>6</v>
      </c>
      <c r="I1" s="298">
        <v>7</v>
      </c>
      <c r="J1" s="298">
        <v>8</v>
      </c>
      <c r="K1" s="298">
        <v>9</v>
      </c>
      <c r="L1" s="298">
        <v>10</v>
      </c>
      <c r="M1" s="298">
        <v>11</v>
      </c>
      <c r="N1" s="298">
        <v>12</v>
      </c>
      <c r="O1" s="298">
        <v>13</v>
      </c>
      <c r="P1" s="298">
        <v>14</v>
      </c>
      <c r="Q1" s="298">
        <v>15</v>
      </c>
      <c r="R1" s="299" t="s">
        <v>724</v>
      </c>
    </row>
    <row r="2" spans="1:18" x14ac:dyDescent="0.2">
      <c r="A2" s="326"/>
      <c r="B2" s="327"/>
      <c r="C2" s="328"/>
      <c r="D2" s="328"/>
      <c r="E2" s="328"/>
      <c r="F2" s="328"/>
      <c r="G2" s="328"/>
      <c r="H2" s="328"/>
      <c r="I2" s="328"/>
      <c r="J2" s="328"/>
      <c r="K2" s="328"/>
      <c r="L2" s="328"/>
      <c r="M2" s="328"/>
      <c r="N2" s="328"/>
      <c r="O2" s="328"/>
      <c r="P2" s="328"/>
      <c r="Q2" s="328"/>
    </row>
    <row r="3" spans="1:18" s="304" customFormat="1" ht="54.75" customHeight="1" x14ac:dyDescent="0.25">
      <c r="A3" s="301" t="s">
        <v>697</v>
      </c>
      <c r="B3" s="302">
        <f>'Gesamtkosten periodenbezogen'!D52</f>
        <v>12242794.482000001</v>
      </c>
      <c r="C3" s="302">
        <f>'Gesamtkosten periodenbezogen'!E52</f>
        <v>70359990.353547841</v>
      </c>
      <c r="D3" s="302">
        <f>'Gesamtkosten periodenbezogen'!F52</f>
        <v>70044274.696360379</v>
      </c>
      <c r="E3" s="302">
        <f>'Gesamtkosten periodenbezogen'!G52</f>
        <v>69719087.569457293</v>
      </c>
      <c r="F3" s="302">
        <f>'Gesamtkosten periodenbezogen'!H52</f>
        <v>69423174.828747123</v>
      </c>
      <c r="G3" s="302">
        <f>'Gesamtkosten periodenbezogen'!I52</f>
        <v>69078183.805815637</v>
      </c>
      <c r="H3" s="302">
        <f>'Gesamtkosten periodenbezogen'!J52</f>
        <v>68799793.802196205</v>
      </c>
      <c r="I3" s="302">
        <f>'Gesamtkosten periodenbezogen'!K52</f>
        <v>68472822.825968191</v>
      </c>
      <c r="J3" s="302">
        <f>'Gesamtkosten periodenbezogen'!L52</f>
        <v>68095841.820453346</v>
      </c>
      <c r="K3" s="302">
        <f>'Gesamtkosten periodenbezogen'!M52</f>
        <v>67707551.384773046</v>
      </c>
      <c r="L3" s="302">
        <f>'Gesamtkosten periodenbezogen'!N52</f>
        <v>69657101.236022353</v>
      </c>
      <c r="M3" s="302">
        <f>'Gesamtkosten periodenbezogen'!O52</f>
        <v>69322114.662809119</v>
      </c>
      <c r="N3" s="302">
        <f>'Gesamtkosten periodenbezogen'!P52</f>
        <v>68897819.219899505</v>
      </c>
      <c r="O3" s="302">
        <f>'Gesamtkosten periodenbezogen'!Q52</f>
        <v>68499824.913702592</v>
      </c>
      <c r="P3" s="302">
        <f>'Gesamtkosten periodenbezogen'!R52</f>
        <v>68049689.87831977</v>
      </c>
      <c r="Q3" s="302">
        <f>'Gesamtkosten periodenbezogen'!S52</f>
        <v>67586050.791875467</v>
      </c>
      <c r="R3" s="303">
        <f>SUM(C3:Q3)</f>
        <v>1033713321.7899479</v>
      </c>
    </row>
    <row r="4" spans="1:18" s="304" customFormat="1" ht="54.75" customHeight="1" x14ac:dyDescent="0.25">
      <c r="A4" s="305" t="s">
        <v>640</v>
      </c>
      <c r="B4" s="306"/>
      <c r="C4" s="306">
        <f>Übersicht!C78+Übersicht!C78*Übersicht!$C$70+Übersicht!C71+Übersicht!C72+Übersicht!C78*Übersicht!C73+Übersicht!C74+Übersicht!C69</f>
        <v>1161966692.9330001</v>
      </c>
      <c r="D4" s="306">
        <f>C4-'Mehrerlöse CRM, sonstiges'!G10+C4*Übersicht!$C$70+'Mehrerlöse CRM, sonstiges'!G11</f>
        <v>1161966692.9330001</v>
      </c>
      <c r="E4" s="306">
        <f>D4+D4*Übersicht!$C$70</f>
        <v>1161966692.9330001</v>
      </c>
      <c r="F4" s="306">
        <f>E4+E4*Übersicht!$C$70</f>
        <v>1161966692.9330001</v>
      </c>
      <c r="G4" s="306">
        <f>F4+F4*Übersicht!$C$70</f>
        <v>1161966692.9330001</v>
      </c>
      <c r="H4" s="306">
        <f>G4+G4*Übersicht!$C$70</f>
        <v>1161966692.9330001</v>
      </c>
      <c r="I4" s="306">
        <f>H4+H4*Übersicht!$C$70</f>
        <v>1161966692.9330001</v>
      </c>
      <c r="J4" s="306">
        <f>I4+I4*Übersicht!$C$70</f>
        <v>1161966692.9330001</v>
      </c>
      <c r="K4" s="306">
        <f>J4+J4*Übersicht!$C$70</f>
        <v>1161966692.9330001</v>
      </c>
      <c r="L4" s="306">
        <f>K4+K4*Übersicht!$C$70</f>
        <v>1161966692.9330001</v>
      </c>
      <c r="M4" s="306">
        <f>L4+L4*Übersicht!$C$70</f>
        <v>1161966692.9330001</v>
      </c>
      <c r="N4" s="306">
        <f>M4+M4*Übersicht!$C$70</f>
        <v>1161966692.9330001</v>
      </c>
      <c r="O4" s="306">
        <f>N4+N4*Übersicht!$C$70</f>
        <v>1161966692.9330001</v>
      </c>
      <c r="P4" s="306">
        <f>O4+O4*Übersicht!$C$70</f>
        <v>1161966692.9330001</v>
      </c>
      <c r="Q4" s="306">
        <f>P4+P4*Übersicht!$C$70</f>
        <v>1161966692.9330001</v>
      </c>
      <c r="R4" s="307">
        <f>SUM(C4:Q4)</f>
        <v>17429500393.995007</v>
      </c>
    </row>
    <row r="5" spans="1:18" s="304" customFormat="1" ht="54.75" customHeight="1" x14ac:dyDescent="0.25">
      <c r="A5" s="308" t="s">
        <v>673</v>
      </c>
      <c r="B5" s="309"/>
      <c r="C5" s="309">
        <f>Übersicht!$C$78</f>
        <v>1089975613</v>
      </c>
      <c r="D5" s="309">
        <f>Übersicht!$C$78</f>
        <v>1089975613</v>
      </c>
      <c r="E5" s="309">
        <f>Übersicht!$C$78</f>
        <v>1089975613</v>
      </c>
      <c r="F5" s="309">
        <f>Übersicht!$C$78</f>
        <v>1089975613</v>
      </c>
      <c r="G5" s="309">
        <f>Übersicht!$C$78</f>
        <v>1089975613</v>
      </c>
      <c r="H5" s="309">
        <f>Übersicht!$C$78</f>
        <v>1089975613</v>
      </c>
      <c r="I5" s="309">
        <f>Übersicht!$C$78</f>
        <v>1089975613</v>
      </c>
      <c r="J5" s="309">
        <f>Übersicht!$C$78</f>
        <v>1089975613</v>
      </c>
      <c r="K5" s="309">
        <f>Übersicht!$C$78</f>
        <v>1089975613</v>
      </c>
      <c r="L5" s="309">
        <f>Übersicht!$C$78</f>
        <v>1089975613</v>
      </c>
      <c r="M5" s="309">
        <f>Übersicht!$C$78</f>
        <v>1089975613</v>
      </c>
      <c r="N5" s="309">
        <f>Übersicht!$C$78</f>
        <v>1089975613</v>
      </c>
      <c r="O5" s="309">
        <f>Übersicht!$C$78</f>
        <v>1089975613</v>
      </c>
      <c r="P5" s="309">
        <f>Übersicht!$C$78</f>
        <v>1089975613</v>
      </c>
      <c r="Q5" s="309">
        <f>Übersicht!$C$78</f>
        <v>1089975613</v>
      </c>
    </row>
    <row r="6" spans="1:18" s="304" customFormat="1" ht="54.75" customHeight="1" x14ac:dyDescent="0.25">
      <c r="A6" s="301" t="s">
        <v>440</v>
      </c>
      <c r="B6" s="311"/>
      <c r="C6" s="311">
        <f t="shared" ref="C6:Q6" si="0">C3/C4</f>
        <v>6.0552501875890563E-2</v>
      </c>
      <c r="D6" s="311">
        <f t="shared" si="0"/>
        <v>6.0280793866437601E-2</v>
      </c>
      <c r="E6" s="311">
        <f t="shared" si="0"/>
        <v>6.0000934616701057E-2</v>
      </c>
      <c r="F6" s="311">
        <f t="shared" si="0"/>
        <v>5.9746269192545706E-2</v>
      </c>
      <c r="G6" s="311">
        <f t="shared" si="0"/>
        <v>5.9449366514500203E-2</v>
      </c>
      <c r="H6" s="311">
        <f t="shared" si="0"/>
        <v>5.9209781330765952E-2</v>
      </c>
      <c r="I6" s="311">
        <f t="shared" si="0"/>
        <v>5.8928386882700766E-2</v>
      </c>
      <c r="J6" s="311">
        <f t="shared" si="0"/>
        <v>5.8603953310028142E-2</v>
      </c>
      <c r="K6" s="311">
        <f t="shared" si="0"/>
        <v>5.8269786730175334E-2</v>
      </c>
      <c r="L6" s="311">
        <f t="shared" si="0"/>
        <v>5.9947588566584532E-2</v>
      </c>
      <c r="M6" s="311">
        <f t="shared" si="0"/>
        <v>5.9659295816671301E-2</v>
      </c>
      <c r="N6" s="311">
        <f t="shared" si="0"/>
        <v>5.9294142972368492E-2</v>
      </c>
      <c r="O6" s="311">
        <f t="shared" si="0"/>
        <v>5.8951625145809879E-2</v>
      </c>
      <c r="P6" s="311">
        <f t="shared" si="0"/>
        <v>5.8564234493289014E-2</v>
      </c>
      <c r="Q6" s="311">
        <f t="shared" si="0"/>
        <v>5.8165222121192531E-2</v>
      </c>
      <c r="R6" s="312">
        <f>R3/R4</f>
        <v>5.9308258895710723E-2</v>
      </c>
    </row>
    <row r="7" spans="1:18" s="304" customFormat="1" ht="54.75" customHeight="1" x14ac:dyDescent="0.25">
      <c r="A7" s="308" t="s">
        <v>674</v>
      </c>
      <c r="B7" s="313"/>
      <c r="C7" s="313">
        <f>Übersicht!$C$77</f>
        <v>0.1</v>
      </c>
      <c r="D7" s="313">
        <f>Übersicht!$C$77</f>
        <v>0.1</v>
      </c>
      <c r="E7" s="313">
        <f>Übersicht!$C$77</f>
        <v>0.1</v>
      </c>
      <c r="F7" s="313">
        <f>Übersicht!$C$77</f>
        <v>0.1</v>
      </c>
      <c r="G7" s="313">
        <f>Übersicht!$C$77</f>
        <v>0.1</v>
      </c>
      <c r="H7" s="313">
        <f>Übersicht!$C$77</f>
        <v>0.1</v>
      </c>
      <c r="I7" s="313">
        <f>Übersicht!$C$77</f>
        <v>0.1</v>
      </c>
      <c r="J7" s="313">
        <f>Übersicht!$C$77</f>
        <v>0.1</v>
      </c>
      <c r="K7" s="313">
        <f>Übersicht!$C$77</f>
        <v>0.1</v>
      </c>
      <c r="L7" s="313">
        <f>Übersicht!$C$77</f>
        <v>0.1</v>
      </c>
      <c r="M7" s="313">
        <f>Übersicht!$C$77</f>
        <v>0.1</v>
      </c>
      <c r="N7" s="313">
        <f>Übersicht!$C$77</f>
        <v>0.1</v>
      </c>
      <c r="O7" s="313">
        <f>Übersicht!$C$77</f>
        <v>0.1</v>
      </c>
      <c r="P7" s="313">
        <f>Übersicht!$C$77</f>
        <v>0.1</v>
      </c>
      <c r="Q7" s="313">
        <f>Übersicht!$C$77</f>
        <v>0.1</v>
      </c>
    </row>
    <row r="8" spans="1:18" s="304" customFormat="1" ht="54.75" customHeight="1" x14ac:dyDescent="0.25">
      <c r="A8" s="308" t="s">
        <v>675</v>
      </c>
      <c r="B8" s="309"/>
      <c r="C8" s="309">
        <f>C7*C5</f>
        <v>108997561.30000001</v>
      </c>
      <c r="D8" s="309">
        <f t="shared" ref="D8:Q8" si="1">D7*D5</f>
        <v>108997561.30000001</v>
      </c>
      <c r="E8" s="309">
        <f t="shared" si="1"/>
        <v>108997561.30000001</v>
      </c>
      <c r="F8" s="309">
        <f t="shared" si="1"/>
        <v>108997561.30000001</v>
      </c>
      <c r="G8" s="309">
        <f t="shared" si="1"/>
        <v>108997561.30000001</v>
      </c>
      <c r="H8" s="309">
        <f t="shared" si="1"/>
        <v>108997561.30000001</v>
      </c>
      <c r="I8" s="309">
        <f t="shared" si="1"/>
        <v>108997561.30000001</v>
      </c>
      <c r="J8" s="309">
        <f t="shared" si="1"/>
        <v>108997561.30000001</v>
      </c>
      <c r="K8" s="309">
        <f t="shared" si="1"/>
        <v>108997561.30000001</v>
      </c>
      <c r="L8" s="309">
        <f t="shared" si="1"/>
        <v>108997561.30000001</v>
      </c>
      <c r="M8" s="309">
        <f t="shared" si="1"/>
        <v>108997561.30000001</v>
      </c>
      <c r="N8" s="309">
        <f t="shared" si="1"/>
        <v>108997561.30000001</v>
      </c>
      <c r="O8" s="309">
        <f t="shared" si="1"/>
        <v>108997561.30000001</v>
      </c>
      <c r="P8" s="309">
        <f t="shared" si="1"/>
        <v>108997561.30000001</v>
      </c>
      <c r="Q8" s="309">
        <f t="shared" si="1"/>
        <v>108997561.30000001</v>
      </c>
    </row>
    <row r="9" spans="1:18" s="304" customFormat="1" ht="54.75" customHeight="1" x14ac:dyDescent="0.25">
      <c r="A9" s="314" t="s">
        <v>676</v>
      </c>
      <c r="B9" s="315"/>
      <c r="C9" s="315">
        <f t="shared" ref="C9:Q9" si="2">C8-C3</f>
        <v>38637570.946452171</v>
      </c>
      <c r="D9" s="315">
        <f t="shared" si="2"/>
        <v>38953286.603639632</v>
      </c>
      <c r="E9" s="315">
        <f t="shared" si="2"/>
        <v>39278473.730542719</v>
      </c>
      <c r="F9" s="315">
        <f t="shared" si="2"/>
        <v>39574386.471252888</v>
      </c>
      <c r="G9" s="315">
        <f t="shared" si="2"/>
        <v>39919377.494184375</v>
      </c>
      <c r="H9" s="315">
        <f t="shared" si="2"/>
        <v>40197767.497803807</v>
      </c>
      <c r="I9" s="315">
        <f t="shared" si="2"/>
        <v>40524738.474031821</v>
      </c>
      <c r="J9" s="315">
        <f t="shared" si="2"/>
        <v>40901719.479546666</v>
      </c>
      <c r="K9" s="315">
        <f t="shared" si="2"/>
        <v>41290009.915226966</v>
      </c>
      <c r="L9" s="315">
        <f t="shared" si="2"/>
        <v>39340460.063977659</v>
      </c>
      <c r="M9" s="315">
        <f t="shared" si="2"/>
        <v>39675446.637190893</v>
      </c>
      <c r="N9" s="315">
        <f t="shared" si="2"/>
        <v>40099742.080100507</v>
      </c>
      <c r="O9" s="315">
        <f t="shared" si="2"/>
        <v>40497736.38629742</v>
      </c>
      <c r="P9" s="315">
        <f t="shared" si="2"/>
        <v>40947871.421680242</v>
      </c>
      <c r="Q9" s="315">
        <f t="shared" si="2"/>
        <v>41411510.508124545</v>
      </c>
    </row>
    <row r="10" spans="1:18" ht="21" customHeight="1" x14ac:dyDescent="0.2">
      <c r="A10" s="329" t="s">
        <v>438</v>
      </c>
      <c r="B10" s="330"/>
      <c r="C10" s="317">
        <f t="shared" ref="C10:Q10" si="3">PV(($B18*C1),1,-C9,0,0)</f>
        <v>37512204.802380785</v>
      </c>
      <c r="D10" s="317">
        <f t="shared" si="3"/>
        <v>36748383.588339306</v>
      </c>
      <c r="E10" s="317">
        <f t="shared" si="3"/>
        <v>36035297.000497937</v>
      </c>
      <c r="F10" s="317">
        <f t="shared" si="3"/>
        <v>35334273.635047249</v>
      </c>
      <c r="G10" s="317">
        <f t="shared" si="3"/>
        <v>34712502.168855958</v>
      </c>
      <c r="H10" s="317">
        <f t="shared" si="3"/>
        <v>34065904.659155756</v>
      </c>
      <c r="I10" s="317">
        <f t="shared" si="3"/>
        <v>33491519.400026292</v>
      </c>
      <c r="J10" s="317">
        <f t="shared" si="3"/>
        <v>32985257.644795697</v>
      </c>
      <c r="K10" s="317">
        <f t="shared" si="3"/>
        <v>32511818.830887374</v>
      </c>
      <c r="L10" s="317">
        <f t="shared" si="3"/>
        <v>30261892.356905896</v>
      </c>
      <c r="M10" s="317">
        <f t="shared" si="3"/>
        <v>29831162.885105945</v>
      </c>
      <c r="N10" s="317">
        <f t="shared" si="3"/>
        <v>29485104.470662128</v>
      </c>
      <c r="O10" s="317">
        <f t="shared" si="3"/>
        <v>29135062.148415413</v>
      </c>
      <c r="P10" s="317">
        <f t="shared" si="3"/>
        <v>28836529.170197349</v>
      </c>
      <c r="Q10" s="317">
        <f t="shared" si="3"/>
        <v>28559662.41939624</v>
      </c>
    </row>
    <row r="11" spans="1:18" ht="21" customHeight="1" x14ac:dyDescent="0.2">
      <c r="A11" s="329" t="s">
        <v>439</v>
      </c>
      <c r="B11" s="330"/>
      <c r="C11" s="317">
        <f>C10</f>
        <v>37512204.802380785</v>
      </c>
      <c r="D11" s="317">
        <f t="shared" ref="D11:Q11" si="4">D10+C11</f>
        <v>74260588.390720099</v>
      </c>
      <c r="E11" s="317">
        <f t="shared" si="4"/>
        <v>110295885.39121804</v>
      </c>
      <c r="F11" s="317">
        <f t="shared" si="4"/>
        <v>145630159.02626529</v>
      </c>
      <c r="G11" s="317">
        <f t="shared" si="4"/>
        <v>180342661.19512126</v>
      </c>
      <c r="H11" s="317">
        <f t="shared" si="4"/>
        <v>214408565.85427701</v>
      </c>
      <c r="I11" s="317">
        <f t="shared" si="4"/>
        <v>247900085.25430331</v>
      </c>
      <c r="J11" s="317">
        <f t="shared" si="4"/>
        <v>280885342.89909899</v>
      </c>
      <c r="K11" s="317">
        <f t="shared" si="4"/>
        <v>313397161.72998637</v>
      </c>
      <c r="L11" s="317">
        <f t="shared" si="4"/>
        <v>343659054.08689225</v>
      </c>
      <c r="M11" s="317">
        <f t="shared" si="4"/>
        <v>373490216.97199821</v>
      </c>
      <c r="N11" s="317">
        <f t="shared" si="4"/>
        <v>402975321.44266033</v>
      </c>
      <c r="O11" s="317">
        <f t="shared" si="4"/>
        <v>432110383.59107572</v>
      </c>
      <c r="P11" s="317">
        <f t="shared" si="4"/>
        <v>460946912.76127309</v>
      </c>
      <c r="Q11" s="317">
        <f t="shared" si="4"/>
        <v>489506575.18066931</v>
      </c>
    </row>
    <row r="12" spans="1:18" ht="11.45" customHeight="1" x14ac:dyDescent="0.2">
      <c r="A12" s="331"/>
      <c r="B12" s="332"/>
      <c r="C12" s="333"/>
      <c r="D12" s="333"/>
      <c r="E12" s="333"/>
      <c r="F12" s="333"/>
      <c r="G12" s="333"/>
      <c r="H12" s="333"/>
      <c r="I12" s="333"/>
      <c r="J12" s="333"/>
      <c r="K12" s="333"/>
      <c r="L12" s="333"/>
      <c r="M12" s="333"/>
      <c r="N12" s="333"/>
      <c r="O12" s="333"/>
      <c r="P12" s="333"/>
      <c r="Q12" s="334"/>
    </row>
    <row r="13" spans="1:18" ht="29.45" customHeight="1" x14ac:dyDescent="0.2">
      <c r="A13" s="329" t="s">
        <v>700</v>
      </c>
      <c r="B13" s="335" t="s">
        <v>696</v>
      </c>
      <c r="C13" s="336"/>
      <c r="D13" s="333"/>
      <c r="E13" s="333"/>
      <c r="F13" s="333"/>
      <c r="G13" s="333"/>
      <c r="H13" s="333"/>
      <c r="I13" s="333"/>
      <c r="J13" s="333"/>
      <c r="K13" s="333"/>
      <c r="L13" s="333"/>
      <c r="M13" s="333"/>
      <c r="N13" s="333"/>
      <c r="O13" s="333"/>
      <c r="P13" s="333"/>
      <c r="Q13" s="334"/>
    </row>
    <row r="14" spans="1:18" ht="21" customHeight="1" x14ac:dyDescent="0.2">
      <c r="A14" s="337" t="s">
        <v>575</v>
      </c>
      <c r="B14" s="338"/>
      <c r="C14" s="339">
        <f>Finanzierung!I40</f>
        <v>-10523855.239582017</v>
      </c>
      <c r="D14" s="339">
        <f>Finanzierung!J40</f>
        <v>-10839570.896769479</v>
      </c>
      <c r="E14" s="339">
        <f>Finanzierung!K40</f>
        <v>-11164758.023672562</v>
      </c>
      <c r="F14" s="339">
        <f>Finanzierung!L40</f>
        <v>-11499700.764382739</v>
      </c>
      <c r="G14" s="339">
        <f>Finanzierung!M40</f>
        <v>-11844691.787314221</v>
      </c>
      <c r="H14" s="339">
        <f>Finanzierung!N40</f>
        <v>-12200032.540933648</v>
      </c>
      <c r="I14" s="339">
        <f>Finanzierung!O40</f>
        <v>-12566033.517161658</v>
      </c>
      <c r="J14" s="339">
        <f>Finanzierung!P40</f>
        <v>-12943014.522676507</v>
      </c>
      <c r="K14" s="339">
        <f>Finanzierung!Q40</f>
        <v>-13331304.958356801</v>
      </c>
      <c r="L14" s="339">
        <f>Finanzierung!R40</f>
        <v>-13731244.107107507</v>
      </c>
      <c r="M14" s="339">
        <f>Finanzierung!S40</f>
        <v>-14143181.430320732</v>
      </c>
      <c r="N14" s="339">
        <f>Finanzierung!T40</f>
        <v>-14567476.873230353</v>
      </c>
      <c r="O14" s="339">
        <f>Finanzierung!U40</f>
        <v>-15004501.179427264</v>
      </c>
      <c r="P14" s="339">
        <f>Finanzierung!V40</f>
        <v>-15454636.214810083</v>
      </c>
      <c r="Q14" s="339">
        <f>Finanzierung!W40+Finanzierung!W53</f>
        <v>-15918275.301254384</v>
      </c>
    </row>
    <row r="15" spans="1:18" ht="21" customHeight="1" x14ac:dyDescent="0.2">
      <c r="A15" s="337" t="s">
        <v>693</v>
      </c>
      <c r="B15" s="338"/>
      <c r="C15" s="339">
        <f t="shared" ref="C15:Q15" si="5">C9+C14</f>
        <v>28113715.706870154</v>
      </c>
      <c r="D15" s="339">
        <f t="shared" si="5"/>
        <v>28113715.706870154</v>
      </c>
      <c r="E15" s="339">
        <f t="shared" si="5"/>
        <v>28113715.706870157</v>
      </c>
      <c r="F15" s="339">
        <f t="shared" si="5"/>
        <v>28074685.70687015</v>
      </c>
      <c r="G15" s="339">
        <f t="shared" si="5"/>
        <v>28074685.706870154</v>
      </c>
      <c r="H15" s="339">
        <f t="shared" si="5"/>
        <v>27997734.956870161</v>
      </c>
      <c r="I15" s="339">
        <f t="shared" si="5"/>
        <v>27958704.956870161</v>
      </c>
      <c r="J15" s="339">
        <f t="shared" si="5"/>
        <v>27958704.956870161</v>
      </c>
      <c r="K15" s="339">
        <f t="shared" si="5"/>
        <v>27958704.956870165</v>
      </c>
      <c r="L15" s="339">
        <f t="shared" si="5"/>
        <v>25609215.956870154</v>
      </c>
      <c r="M15" s="339">
        <f t="shared" si="5"/>
        <v>25532265.206870161</v>
      </c>
      <c r="N15" s="339">
        <f t="shared" si="5"/>
        <v>25532265.206870154</v>
      </c>
      <c r="O15" s="339">
        <f t="shared" si="5"/>
        <v>25493235.206870154</v>
      </c>
      <c r="P15" s="339">
        <f t="shared" si="5"/>
        <v>25493235.206870161</v>
      </c>
      <c r="Q15" s="339">
        <f t="shared" si="5"/>
        <v>25493235.206870161</v>
      </c>
    </row>
    <row r="16" spans="1:18" ht="21" customHeight="1" x14ac:dyDescent="0.2">
      <c r="A16" s="329" t="s">
        <v>692</v>
      </c>
      <c r="B16" s="340">
        <f>-B3-Finanzierung!H54</f>
        <v>-42338159.482000001</v>
      </c>
      <c r="C16" s="317">
        <f>NPV($B18,B16,C15)</f>
        <v>-14605135.789980063</v>
      </c>
      <c r="D16" s="317">
        <f>NPV($B18,B16,C15,D15)</f>
        <v>11122896.652588075</v>
      </c>
      <c r="E16" s="317">
        <f>NPV($B18,B16,C15,D15,E15)</f>
        <v>36101568.926926069</v>
      </c>
      <c r="F16" s="317">
        <f>NPV($B18,B16,C15,D15,E15,F15)</f>
        <v>60319039.436496794</v>
      </c>
      <c r="G16" s="317">
        <f>NPV($B18,B16,C15,D15,E15,F15,G15)</f>
        <v>83831146.727342159</v>
      </c>
      <c r="H16" s="317">
        <f>NPV($B18,B16,C15,D15,E15,F15,G15,H15)</f>
        <v>106595867.35761437</v>
      </c>
      <c r="I16" s="317">
        <f>NPV($B18,B16,C15,D15,E15,F15,G15,H15,I15)</f>
        <v>128666727.23002647</v>
      </c>
      <c r="J16" s="317">
        <f>NPV($B18,B16,C15,D15,E15,F15,G15,H15,I15,J15)</f>
        <v>150094746.52363047</v>
      </c>
      <c r="K16" s="317">
        <f>NPV($B18,B16,C15,D15,E15,F15,G15,H15,I15,J15,K15)</f>
        <v>170898648.75043046</v>
      </c>
      <c r="L16" s="317">
        <f>NPV($B18,B16,C15,D15,E15,F15,G15,H15,I15,J15,K15,L15)</f>
        <v>189399291.23468599</v>
      </c>
      <c r="M16" s="317">
        <f>NPV($B18,B16,C15,D15,E15,F15,G15,H15,I15,J15,K15,L15,M15)</f>
        <v>207307108.3465358</v>
      </c>
      <c r="N16" s="317">
        <f>NPV($B18,B16,C15,D15,E15,F15,G15,H15,I15,J15,K15,L15,M15,N15)</f>
        <v>224693338.55221519</v>
      </c>
      <c r="O16" s="317">
        <f>NPV($B18,B16,C15,D15,E15,F15,G15,H15,I15,J15,K15,L15,M15,N15,O15)</f>
        <v>241547370.27539918</v>
      </c>
      <c r="P16" s="317">
        <f>NPV($B18,B16,C15,D15,E15,F15,G15,H15,I15,J15,K15,L15,M15,N15,O15,P15)</f>
        <v>257910507.8707234</v>
      </c>
      <c r="Q16" s="317">
        <f>NPV($B18,B16,C15,D15,E15,F15,G15,H15,I15,J15,K15,L15,M15,N15,O15,P15,Q15)</f>
        <v>273797049.22540712</v>
      </c>
    </row>
    <row r="17" spans="1:17" ht="11.45" customHeight="1" x14ac:dyDescent="0.2">
      <c r="A17" s="341"/>
      <c r="B17" s="342"/>
      <c r="C17" s="343"/>
      <c r="D17" s="343"/>
      <c r="E17" s="343"/>
      <c r="F17" s="343"/>
      <c r="G17" s="343"/>
      <c r="H17" s="343"/>
      <c r="I17" s="343"/>
      <c r="J17" s="343"/>
      <c r="K17" s="343"/>
      <c r="L17" s="343"/>
      <c r="M17" s="343"/>
      <c r="N17" s="343"/>
      <c r="O17" s="343"/>
      <c r="P17" s="343"/>
      <c r="Q17" s="343"/>
    </row>
    <row r="18" spans="1:17" x14ac:dyDescent="0.2">
      <c r="A18" s="344" t="s">
        <v>461</v>
      </c>
      <c r="B18" s="345">
        <f>Eingabeparameter!C89</f>
        <v>0.03</v>
      </c>
      <c r="C18" s="346"/>
    </row>
    <row r="19" spans="1:17" x14ac:dyDescent="0.2">
      <c r="A19" s="300"/>
    </row>
    <row r="20" spans="1:17" x14ac:dyDescent="0.2">
      <c r="A20" s="300"/>
    </row>
    <row r="21" spans="1:17" x14ac:dyDescent="0.2">
      <c r="A21" s="300"/>
    </row>
    <row r="22" spans="1:17" x14ac:dyDescent="0.2">
      <c r="A22" s="300"/>
    </row>
    <row r="23" spans="1:17" x14ac:dyDescent="0.2">
      <c r="A23" s="300"/>
    </row>
    <row r="24" spans="1:17" x14ac:dyDescent="0.2">
      <c r="A24" s="300"/>
    </row>
    <row r="25" spans="1:17" x14ac:dyDescent="0.2">
      <c r="A25" s="300"/>
    </row>
    <row r="26" spans="1:17" x14ac:dyDescent="0.2">
      <c r="A26" s="300"/>
    </row>
    <row r="27" spans="1:17" x14ac:dyDescent="0.2">
      <c r="A27" s="300"/>
    </row>
    <row r="28" spans="1:17" x14ac:dyDescent="0.2">
      <c r="A28" s="300"/>
    </row>
    <row r="29" spans="1:17" x14ac:dyDescent="0.2">
      <c r="A29" s="300"/>
    </row>
    <row r="30" spans="1:17" x14ac:dyDescent="0.2">
      <c r="A30" s="300"/>
    </row>
    <row r="31" spans="1:17" x14ac:dyDescent="0.2">
      <c r="A31" s="300"/>
    </row>
    <row r="32" spans="1:17" x14ac:dyDescent="0.2">
      <c r="A32" s="300"/>
    </row>
    <row r="33" spans="1:1" x14ac:dyDescent="0.2">
      <c r="A33" s="300"/>
    </row>
    <row r="34" spans="1:1" x14ac:dyDescent="0.2">
      <c r="A34" s="300"/>
    </row>
    <row r="35" spans="1:1" x14ac:dyDescent="0.2">
      <c r="A35" s="300"/>
    </row>
    <row r="36" spans="1:1" x14ac:dyDescent="0.2">
      <c r="A36" s="300"/>
    </row>
    <row r="37" spans="1:1" x14ac:dyDescent="0.2">
      <c r="A37" s="300"/>
    </row>
    <row r="38" spans="1:1" x14ac:dyDescent="0.2">
      <c r="A38" s="300"/>
    </row>
    <row r="39" spans="1:1" x14ac:dyDescent="0.2">
      <c r="A39" s="300"/>
    </row>
    <row r="40" spans="1:1" x14ac:dyDescent="0.2">
      <c r="A40" s="300"/>
    </row>
  </sheetData>
  <sheetProtection sheet="1" objects="1" scenarios="1"/>
  <printOptions horizontalCentered="1" verticalCentered="1"/>
  <pageMargins left="0.70866141732283472" right="0.70866141732283472" top="0.98425196850393704" bottom="0.78740157480314965" header="0.31496062992125984" footer="0.31496062992125984"/>
  <pageSetup paperSize="8" scale="67"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Z58"/>
  <sheetViews>
    <sheetView zoomScale="85" zoomScaleNormal="85" zoomScalePageLayoutView="70" workbookViewId="0"/>
  </sheetViews>
  <sheetFormatPr baseColWidth="10" defaultColWidth="11.42578125" defaultRowHeight="15" x14ac:dyDescent="0.2"/>
  <cols>
    <col min="1" max="1" width="48" style="402" customWidth="1"/>
    <col min="2" max="2" width="3.28515625" style="403" bestFit="1" customWidth="1"/>
    <col min="3" max="3" width="5.7109375" style="404" customWidth="1"/>
    <col min="4" max="18" width="16.5703125" style="402" customWidth="1"/>
    <col min="19" max="19" width="16.28515625" style="402" customWidth="1"/>
    <col min="20" max="16384" width="11.42578125" style="402"/>
  </cols>
  <sheetData>
    <row r="1" spans="1:26" s="350" customFormat="1" ht="20.100000000000001" customHeight="1" x14ac:dyDescent="0.25">
      <c r="A1" s="347" t="s">
        <v>679</v>
      </c>
      <c r="B1" s="348"/>
      <c r="C1" s="349"/>
      <c r="U1" s="351"/>
    </row>
    <row r="2" spans="1:26" s="350" customFormat="1" ht="20.100000000000001" customHeight="1" x14ac:dyDescent="0.25">
      <c r="A2" s="350" t="s">
        <v>53</v>
      </c>
      <c r="B2" s="352"/>
      <c r="C2" s="353"/>
      <c r="U2" s="351"/>
    </row>
    <row r="3" spans="1:26" s="350" customFormat="1" ht="20.100000000000001" customHeight="1" thickBot="1" x14ac:dyDescent="0.3">
      <c r="B3" s="978" t="s">
        <v>122</v>
      </c>
      <c r="C3" s="978" t="s">
        <v>672</v>
      </c>
      <c r="T3" s="354"/>
      <c r="U3" s="354"/>
      <c r="V3" s="354"/>
      <c r="W3" s="354"/>
      <c r="X3" s="354"/>
      <c r="Y3" s="354"/>
      <c r="Z3" s="354"/>
    </row>
    <row r="4" spans="1:26" s="350" customFormat="1" ht="20.100000000000001" customHeight="1" thickBot="1" x14ac:dyDescent="0.3">
      <c r="A4" s="353"/>
      <c r="B4" s="979"/>
      <c r="C4" s="979"/>
      <c r="D4" s="355">
        <v>1</v>
      </c>
      <c r="E4" s="355">
        <v>2</v>
      </c>
      <c r="F4" s="355">
        <v>3</v>
      </c>
      <c r="G4" s="355">
        <v>4</v>
      </c>
      <c r="H4" s="355">
        <v>5</v>
      </c>
      <c r="I4" s="355">
        <v>6</v>
      </c>
      <c r="J4" s="355">
        <v>7</v>
      </c>
      <c r="K4" s="355">
        <v>8</v>
      </c>
      <c r="L4" s="355">
        <v>9</v>
      </c>
      <c r="M4" s="355">
        <v>10</v>
      </c>
      <c r="N4" s="355">
        <v>11</v>
      </c>
      <c r="O4" s="355">
        <v>12</v>
      </c>
      <c r="P4" s="355">
        <v>13</v>
      </c>
      <c r="Q4" s="355">
        <v>14</v>
      </c>
      <c r="R4" s="355">
        <v>15</v>
      </c>
      <c r="S4" s="356" t="s">
        <v>26</v>
      </c>
      <c r="T4" s="354"/>
      <c r="U4" s="354"/>
      <c r="V4" s="354"/>
      <c r="W4" s="354"/>
      <c r="X4" s="354"/>
      <c r="Y4" s="354"/>
      <c r="Z4" s="354"/>
    </row>
    <row r="5" spans="1:26" s="350" customFormat="1" ht="20.100000000000001" customHeight="1" x14ac:dyDescent="0.25">
      <c r="A5" s="357" t="s">
        <v>680</v>
      </c>
      <c r="B5" s="980"/>
      <c r="C5" s="980"/>
      <c r="S5" s="358"/>
      <c r="T5" s="354"/>
      <c r="U5" s="354"/>
      <c r="V5" s="354"/>
      <c r="W5" s="354"/>
      <c r="X5" s="354"/>
      <c r="Y5" s="354"/>
      <c r="Z5" s="354"/>
    </row>
    <row r="6" spans="1:26" s="365" customFormat="1" ht="27" customHeight="1" x14ac:dyDescent="0.25">
      <c r="A6" s="359" t="s">
        <v>0</v>
      </c>
      <c r="B6" s="360">
        <f>Eingabeparameter!F4</f>
        <v>18</v>
      </c>
      <c r="C6" s="361" t="s">
        <v>671</v>
      </c>
      <c r="D6" s="362">
        <f>'Kosten Systemaufbau'!$K8/$B6</f>
        <v>88888.888888888891</v>
      </c>
      <c r="E6" s="362">
        <f>'Kosten Systemaufbau'!$K8/$B6</f>
        <v>88888.888888888891</v>
      </c>
      <c r="F6" s="362">
        <f>'Kosten Systemaufbau'!$K8/$B6</f>
        <v>88888.888888888891</v>
      </c>
      <c r="G6" s="362">
        <f>'Kosten Systemaufbau'!$K8/$B6</f>
        <v>88888.888888888891</v>
      </c>
      <c r="H6" s="362">
        <f>'Kosten Systemaufbau'!$K8/$B6</f>
        <v>88888.888888888891</v>
      </c>
      <c r="I6" s="362">
        <f>'Kosten Systemaufbau'!$K8/$B6</f>
        <v>88888.888888888891</v>
      </c>
      <c r="J6" s="362">
        <f>'Kosten Systemaufbau'!$K8/$B6</f>
        <v>88888.888888888891</v>
      </c>
      <c r="K6" s="362">
        <f>'Kosten Systemaufbau'!$K8/$B6</f>
        <v>88888.888888888891</v>
      </c>
      <c r="L6" s="362">
        <f>'Kosten Systemaufbau'!$K8/$B6</f>
        <v>88888.888888888891</v>
      </c>
      <c r="M6" s="362">
        <f>'Kosten Systemaufbau'!$K8/$B6</f>
        <v>88888.888888888891</v>
      </c>
      <c r="N6" s="362">
        <f>'Kosten Systemaufbau'!$K8/$B6</f>
        <v>88888.888888888891</v>
      </c>
      <c r="O6" s="362">
        <f>'Kosten Systemaufbau'!$K8/$B6</f>
        <v>88888.888888888891</v>
      </c>
      <c r="P6" s="362">
        <f>'Kosten Systemaufbau'!$K8/$B6</f>
        <v>88888.888888888891</v>
      </c>
      <c r="Q6" s="362">
        <f>'Kosten Systemaufbau'!$K8/$B6</f>
        <v>88888.888888888891</v>
      </c>
      <c r="R6" s="362">
        <f>'Kosten Systemaufbau'!$K8/$B6</f>
        <v>88888.888888888891</v>
      </c>
      <c r="S6" s="363">
        <f>SUM(D6:R6)</f>
        <v>1333333.3333333337</v>
      </c>
      <c r="T6" s="364"/>
      <c r="U6" s="364"/>
      <c r="V6" s="364"/>
      <c r="W6" s="364"/>
      <c r="X6" s="364"/>
      <c r="Y6" s="364"/>
      <c r="Z6" s="364"/>
    </row>
    <row r="7" spans="1:26" s="365" customFormat="1" ht="27" customHeight="1" x14ac:dyDescent="0.25">
      <c r="A7" s="359" t="s">
        <v>1</v>
      </c>
      <c r="B7" s="360">
        <f>Eingabeparameter!F5</f>
        <v>9</v>
      </c>
      <c r="C7" s="361" t="s">
        <v>671</v>
      </c>
      <c r="D7" s="362">
        <f>'Kosten Systemaufbau'!$K9/$B7</f>
        <v>1690222.2222222222</v>
      </c>
      <c r="E7" s="362">
        <f>'Kosten Systemaufbau'!$K9/$B7</f>
        <v>1690222.2222222222</v>
      </c>
      <c r="F7" s="362">
        <f>'Kosten Systemaufbau'!$K9/$B7</f>
        <v>1690222.2222222222</v>
      </c>
      <c r="G7" s="362">
        <f>'Kosten Systemaufbau'!$K9/$B7</f>
        <v>1690222.2222222222</v>
      </c>
      <c r="H7" s="362">
        <f>'Kosten Systemaufbau'!$K9/$B7</f>
        <v>1690222.2222222222</v>
      </c>
      <c r="I7" s="362">
        <f>'Kosten Systemaufbau'!$K9/$B7</f>
        <v>1690222.2222222222</v>
      </c>
      <c r="J7" s="362">
        <f>'Kosten Systemaufbau'!$K9/$B7</f>
        <v>1690222.2222222222</v>
      </c>
      <c r="K7" s="362">
        <f>'Kosten Systemaufbau'!$K9/$B7</f>
        <v>1690222.2222222222</v>
      </c>
      <c r="L7" s="362">
        <f>'Kosten Systemaufbau'!$K9/$B7</f>
        <v>1690222.2222222222</v>
      </c>
      <c r="M7" s="362">
        <f>'Kosten Systemaufbau'!$K9/$B7</f>
        <v>1690222.2222222222</v>
      </c>
      <c r="N7" s="362">
        <f>'Kosten Systemaufbau'!$K9/$B7</f>
        <v>1690222.2222222222</v>
      </c>
      <c r="O7" s="362">
        <f>'Kosten Systemaufbau'!$K9/$B7</f>
        <v>1690222.2222222222</v>
      </c>
      <c r="P7" s="362">
        <f>'Kosten Systemaufbau'!$K9/$B7</f>
        <v>1690222.2222222222</v>
      </c>
      <c r="Q7" s="362">
        <f>'Kosten Systemaufbau'!$K9/$B7</f>
        <v>1690222.2222222222</v>
      </c>
      <c r="R7" s="362">
        <f>'Kosten Systemaufbau'!$K9/$B7</f>
        <v>1690222.2222222222</v>
      </c>
      <c r="S7" s="363">
        <f t="shared" ref="S7:S18" si="0">SUM(D7:R7)</f>
        <v>25353333.333333343</v>
      </c>
      <c r="T7" s="364"/>
      <c r="U7" s="364"/>
      <c r="V7" s="364"/>
      <c r="W7" s="364"/>
      <c r="X7" s="364"/>
      <c r="Y7" s="364"/>
      <c r="Z7" s="364"/>
    </row>
    <row r="8" spans="1:26" s="365" customFormat="1" ht="27" customHeight="1" x14ac:dyDescent="0.25">
      <c r="A8" s="359" t="s">
        <v>345</v>
      </c>
      <c r="B8" s="360">
        <f>Eingabeparameter!F8</f>
        <v>9</v>
      </c>
      <c r="C8" s="361" t="s">
        <v>671</v>
      </c>
      <c r="D8" s="362">
        <f>'Kosten Systemaufbau'!$K10/$B8</f>
        <v>4218200</v>
      </c>
      <c r="E8" s="362">
        <f>'Kosten Systemaufbau'!$K10/$B8</f>
        <v>4218200</v>
      </c>
      <c r="F8" s="362">
        <f>'Kosten Systemaufbau'!$K10/$B8</f>
        <v>4218200</v>
      </c>
      <c r="G8" s="362">
        <f>'Kosten Systemaufbau'!$K10/$B8</f>
        <v>4218200</v>
      </c>
      <c r="H8" s="362">
        <f>'Kosten Systemaufbau'!$K10/$B8</f>
        <v>4218200</v>
      </c>
      <c r="I8" s="362">
        <f>'Kosten Systemaufbau'!$K10/$B8</f>
        <v>4218200</v>
      </c>
      <c r="J8" s="362">
        <f>'Kosten Systemaufbau'!$K10/$B8</f>
        <v>4218200</v>
      </c>
      <c r="K8" s="362">
        <f>'Kosten Systemaufbau'!$K10/$B8</f>
        <v>4218200</v>
      </c>
      <c r="L8" s="362">
        <f>'Kosten Systemaufbau'!$K10/$B8</f>
        <v>4218200</v>
      </c>
      <c r="M8" s="362">
        <f>'Kosten Systemaufbau'!$K10/$B8</f>
        <v>4218200</v>
      </c>
      <c r="N8" s="362">
        <f>'Kosten Systemaufbau'!$K10/$B8</f>
        <v>4218200</v>
      </c>
      <c r="O8" s="362">
        <f>'Kosten Systemaufbau'!$K10/$B8</f>
        <v>4218200</v>
      </c>
      <c r="P8" s="362">
        <f>'Kosten Systemaufbau'!$K10/$B8</f>
        <v>4218200</v>
      </c>
      <c r="Q8" s="362">
        <f>'Kosten Systemaufbau'!$K10/$B8</f>
        <v>4218200</v>
      </c>
      <c r="R8" s="362">
        <f>'Kosten Systemaufbau'!$K10/$B8</f>
        <v>4218200</v>
      </c>
      <c r="S8" s="363">
        <f t="shared" si="0"/>
        <v>63273000</v>
      </c>
      <c r="T8" s="364"/>
      <c r="U8" s="364"/>
      <c r="V8" s="364"/>
      <c r="W8" s="364"/>
      <c r="X8" s="364"/>
      <c r="Y8" s="364"/>
      <c r="Z8" s="364"/>
    </row>
    <row r="9" spans="1:26" s="365" customFormat="1" ht="27" customHeight="1" x14ac:dyDescent="0.25">
      <c r="A9" s="359" t="s">
        <v>346</v>
      </c>
      <c r="B9" s="360">
        <f>Eingabeparameter!F9</f>
        <v>9</v>
      </c>
      <c r="C9" s="361" t="s">
        <v>671</v>
      </c>
      <c r="D9" s="362">
        <f>'Kosten Systemaufbau'!$K11/$B9</f>
        <v>0</v>
      </c>
      <c r="E9" s="362">
        <f>'Kosten Systemaufbau'!$K11/$B9</f>
        <v>0</v>
      </c>
      <c r="F9" s="362">
        <f>'Kosten Systemaufbau'!$K11/$B9</f>
        <v>0</v>
      </c>
      <c r="G9" s="362">
        <f>'Kosten Systemaufbau'!$K11/$B9</f>
        <v>0</v>
      </c>
      <c r="H9" s="362">
        <f>'Kosten Systemaufbau'!$K11/$B9</f>
        <v>0</v>
      </c>
      <c r="I9" s="362">
        <f>'Kosten Systemaufbau'!$K11/$B9</f>
        <v>0</v>
      </c>
      <c r="J9" s="362">
        <f>'Kosten Systemaufbau'!$K11/$B9</f>
        <v>0</v>
      </c>
      <c r="K9" s="362">
        <f>'Kosten Systemaufbau'!$K11/$B9</f>
        <v>0</v>
      </c>
      <c r="L9" s="362">
        <f>'Kosten Systemaufbau'!$K11/$B9</f>
        <v>0</v>
      </c>
      <c r="M9" s="362">
        <f>'Kosten Systemaufbau'!$K11/$B9</f>
        <v>0</v>
      </c>
      <c r="N9" s="362">
        <f>'Kosten Systemaufbau'!$K11/$B9</f>
        <v>0</v>
      </c>
      <c r="O9" s="362">
        <f>'Kosten Systemaufbau'!$K11/$B9</f>
        <v>0</v>
      </c>
      <c r="P9" s="362">
        <f>'Kosten Systemaufbau'!$K11/$B9</f>
        <v>0</v>
      </c>
      <c r="Q9" s="362">
        <f>'Kosten Systemaufbau'!$K11/$B9</f>
        <v>0</v>
      </c>
      <c r="R9" s="362">
        <f>'Kosten Systemaufbau'!$K11/$B9</f>
        <v>0</v>
      </c>
      <c r="S9" s="363">
        <f t="shared" si="0"/>
        <v>0</v>
      </c>
      <c r="T9" s="364"/>
      <c r="U9" s="364"/>
      <c r="V9" s="364"/>
      <c r="W9" s="364"/>
      <c r="X9" s="364"/>
      <c r="Y9" s="364"/>
      <c r="Z9" s="364"/>
    </row>
    <row r="10" spans="1:26" s="365" customFormat="1" ht="27" customHeight="1" x14ac:dyDescent="0.25">
      <c r="A10" s="359" t="s">
        <v>2</v>
      </c>
      <c r="B10" s="360">
        <f>Eingabeparameter!F11</f>
        <v>5</v>
      </c>
      <c r="C10" s="361" t="s">
        <v>671</v>
      </c>
      <c r="D10" s="362">
        <f>'Kosten Systemaufbau'!$K12/$B10</f>
        <v>313800</v>
      </c>
      <c r="E10" s="362">
        <f>'Kosten Systemaufbau'!$K12/$B10</f>
        <v>313800</v>
      </c>
      <c r="F10" s="362">
        <f>'Kosten Systemaufbau'!$K12/$B10</f>
        <v>313800</v>
      </c>
      <c r="G10" s="362">
        <f>'Kosten Systemaufbau'!$K12/$B10</f>
        <v>313800</v>
      </c>
      <c r="H10" s="362">
        <f>'Kosten Systemaufbau'!$K12/$B10</f>
        <v>313800</v>
      </c>
      <c r="I10" s="362">
        <f>'Kosten Systemaufbau'!$K12/$B10</f>
        <v>313800</v>
      </c>
      <c r="J10" s="362">
        <f>'Kosten Systemaufbau'!$K12/$B10</f>
        <v>313800</v>
      </c>
      <c r="K10" s="362">
        <f>'Kosten Systemaufbau'!$K12/$B10</f>
        <v>313800</v>
      </c>
      <c r="L10" s="362">
        <f>'Kosten Systemaufbau'!$K12/$B10</f>
        <v>313800</v>
      </c>
      <c r="M10" s="362">
        <f>'Kosten Systemaufbau'!$K12/$B10</f>
        <v>313800</v>
      </c>
      <c r="N10" s="362">
        <f>'Kosten Systemaufbau'!$K12/$B10</f>
        <v>313800</v>
      </c>
      <c r="O10" s="362">
        <f>'Kosten Systemaufbau'!$K12/$B10</f>
        <v>313800</v>
      </c>
      <c r="P10" s="362">
        <f>'Kosten Systemaufbau'!$K12/$B10</f>
        <v>313800</v>
      </c>
      <c r="Q10" s="362">
        <f>'Kosten Systemaufbau'!$K12/$B10</f>
        <v>313800</v>
      </c>
      <c r="R10" s="362">
        <f>'Kosten Systemaufbau'!$K12/$B10</f>
        <v>313800</v>
      </c>
      <c r="S10" s="363">
        <f t="shared" si="0"/>
        <v>4707000</v>
      </c>
      <c r="T10" s="364"/>
      <c r="U10" s="364"/>
      <c r="V10" s="364"/>
      <c r="W10" s="364"/>
      <c r="X10" s="364"/>
      <c r="Y10" s="364"/>
      <c r="Z10" s="364"/>
    </row>
    <row r="11" spans="1:26" s="365" customFormat="1" ht="27" customHeight="1" x14ac:dyDescent="0.25">
      <c r="A11" s="359" t="s">
        <v>355</v>
      </c>
      <c r="B11" s="360">
        <f>Eingabeparameter!F12</f>
        <v>3</v>
      </c>
      <c r="C11" s="361" t="s">
        <v>671</v>
      </c>
      <c r="D11" s="362">
        <f>'Kosten Systemaufbau'!$K13/$B11</f>
        <v>0</v>
      </c>
      <c r="E11" s="362">
        <f>'Kosten Systemaufbau'!$K13/$B11</f>
        <v>0</v>
      </c>
      <c r="F11" s="362">
        <f>'Kosten Systemaufbau'!$K13/$B11</f>
        <v>0</v>
      </c>
      <c r="G11" s="362">
        <f>'Kosten Systemaufbau'!$K13/$B11</f>
        <v>0</v>
      </c>
      <c r="H11" s="362">
        <f>'Kosten Systemaufbau'!$K13/$B11</f>
        <v>0</v>
      </c>
      <c r="I11" s="362">
        <f>'Kosten Systemaufbau'!$K13/$B11</f>
        <v>0</v>
      </c>
      <c r="J11" s="362">
        <f>'Kosten Systemaufbau'!$K13/$B11</f>
        <v>0</v>
      </c>
      <c r="K11" s="362">
        <f>'Kosten Systemaufbau'!$K13/$B11</f>
        <v>0</v>
      </c>
      <c r="L11" s="362">
        <f>'Kosten Systemaufbau'!$K13/$B11</f>
        <v>0</v>
      </c>
      <c r="M11" s="362">
        <f>'Kosten Systemaufbau'!$K13/$B11</f>
        <v>0</v>
      </c>
      <c r="N11" s="362">
        <f>'Kosten Systemaufbau'!$K13/$B11</f>
        <v>0</v>
      </c>
      <c r="O11" s="362">
        <f>'Kosten Systemaufbau'!$K13/$B11</f>
        <v>0</v>
      </c>
      <c r="P11" s="362">
        <f>'Kosten Systemaufbau'!$K13/$B11</f>
        <v>0</v>
      </c>
      <c r="Q11" s="362">
        <f>'Kosten Systemaufbau'!$K13/$B11</f>
        <v>0</v>
      </c>
      <c r="R11" s="362">
        <f>'Kosten Systemaufbau'!$K13/$B11</f>
        <v>0</v>
      </c>
      <c r="S11" s="363">
        <f t="shared" si="0"/>
        <v>0</v>
      </c>
      <c r="T11" s="364"/>
      <c r="U11" s="364"/>
      <c r="V11" s="364"/>
      <c r="W11" s="364"/>
      <c r="X11" s="364"/>
      <c r="Y11" s="364"/>
      <c r="Z11" s="364"/>
    </row>
    <row r="12" spans="1:26" s="365" customFormat="1" ht="27" customHeight="1" x14ac:dyDescent="0.25">
      <c r="A12" s="359" t="s">
        <v>3</v>
      </c>
      <c r="B12" s="360">
        <f>Eingabeparameter!F14</f>
        <v>15</v>
      </c>
      <c r="C12" s="361" t="s">
        <v>671</v>
      </c>
      <c r="D12" s="362">
        <f>'Kosten Systemaufbau'!$K14/$B12</f>
        <v>2815033.3333333335</v>
      </c>
      <c r="E12" s="362">
        <f>'Kosten Systemaufbau'!$K14/$B12</f>
        <v>2815033.3333333335</v>
      </c>
      <c r="F12" s="362">
        <f>'Kosten Systemaufbau'!$K14/$B12</f>
        <v>2815033.3333333335</v>
      </c>
      <c r="G12" s="362">
        <f>'Kosten Systemaufbau'!$K14/$B12</f>
        <v>2815033.3333333335</v>
      </c>
      <c r="H12" s="362">
        <f>'Kosten Systemaufbau'!$K14/$B12</f>
        <v>2815033.3333333335</v>
      </c>
      <c r="I12" s="362">
        <f>'Kosten Systemaufbau'!$K14/$B12</f>
        <v>2815033.3333333335</v>
      </c>
      <c r="J12" s="362">
        <f>'Kosten Systemaufbau'!$K14/$B12</f>
        <v>2815033.3333333335</v>
      </c>
      <c r="K12" s="362">
        <f>'Kosten Systemaufbau'!$K14/$B12</f>
        <v>2815033.3333333335</v>
      </c>
      <c r="L12" s="362">
        <f>'Kosten Systemaufbau'!$K14/$B12</f>
        <v>2815033.3333333335</v>
      </c>
      <c r="M12" s="362">
        <f>'Kosten Systemaufbau'!$K14/$B12</f>
        <v>2815033.3333333335</v>
      </c>
      <c r="N12" s="362">
        <f>'Kosten Systemaufbau'!$K14/$B12</f>
        <v>2815033.3333333335</v>
      </c>
      <c r="O12" s="362">
        <f>'Kosten Systemaufbau'!$K14/$B12</f>
        <v>2815033.3333333335</v>
      </c>
      <c r="P12" s="362">
        <f>'Kosten Systemaufbau'!$K14/$B12</f>
        <v>2815033.3333333335</v>
      </c>
      <c r="Q12" s="362">
        <f>'Kosten Systemaufbau'!$K14/$B12</f>
        <v>2815033.3333333335</v>
      </c>
      <c r="R12" s="362">
        <f>'Kosten Systemaufbau'!$K14/$B12</f>
        <v>2815033.3333333335</v>
      </c>
      <c r="S12" s="363">
        <f t="shared" si="0"/>
        <v>42225500</v>
      </c>
      <c r="T12" s="364"/>
      <c r="U12" s="364"/>
      <c r="V12" s="364"/>
      <c r="W12" s="364"/>
      <c r="X12" s="364"/>
      <c r="Y12" s="364"/>
      <c r="Z12" s="364"/>
    </row>
    <row r="13" spans="1:26" s="365" customFormat="1" ht="27" customHeight="1" x14ac:dyDescent="0.25">
      <c r="A13" s="366" t="s">
        <v>310</v>
      </c>
      <c r="B13" s="360">
        <f>Eingabeparameter!F16</f>
        <v>15</v>
      </c>
      <c r="C13" s="361" t="s">
        <v>671</v>
      </c>
      <c r="D13" s="362">
        <f>'Kosten Systemaufbau'!$K15/$B13</f>
        <v>400000</v>
      </c>
      <c r="E13" s="362">
        <f>'Kosten Systemaufbau'!$K15/$B13</f>
        <v>400000</v>
      </c>
      <c r="F13" s="362">
        <f>'Kosten Systemaufbau'!$K15/$B13</f>
        <v>400000</v>
      </c>
      <c r="G13" s="362">
        <f>'Kosten Systemaufbau'!$K15/$B13</f>
        <v>400000</v>
      </c>
      <c r="H13" s="362">
        <f>'Kosten Systemaufbau'!$K15/$B13</f>
        <v>400000</v>
      </c>
      <c r="I13" s="362">
        <f>'Kosten Systemaufbau'!$K15/$B13</f>
        <v>400000</v>
      </c>
      <c r="J13" s="362">
        <f>'Kosten Systemaufbau'!$K15/$B13</f>
        <v>400000</v>
      </c>
      <c r="K13" s="362">
        <f>'Kosten Systemaufbau'!$K15/$B13</f>
        <v>400000</v>
      </c>
      <c r="L13" s="362">
        <f>'Kosten Systemaufbau'!$K15/$B13</f>
        <v>400000</v>
      </c>
      <c r="M13" s="362">
        <f>'Kosten Systemaufbau'!$K15/$B13</f>
        <v>400000</v>
      </c>
      <c r="N13" s="362">
        <f>'Kosten Systemaufbau'!$K15/$B13</f>
        <v>400000</v>
      </c>
      <c r="O13" s="362">
        <f>'Kosten Systemaufbau'!$K15/$B13</f>
        <v>400000</v>
      </c>
      <c r="P13" s="362">
        <f>'Kosten Systemaufbau'!$K15/$B13</f>
        <v>400000</v>
      </c>
      <c r="Q13" s="362">
        <f>'Kosten Systemaufbau'!$K15/$B13</f>
        <v>400000</v>
      </c>
      <c r="R13" s="362">
        <f>'Kosten Systemaufbau'!$K15/$B13</f>
        <v>400000</v>
      </c>
      <c r="S13" s="363">
        <f t="shared" si="0"/>
        <v>6000000</v>
      </c>
      <c r="T13" s="364"/>
      <c r="U13" s="364"/>
      <c r="V13" s="364"/>
      <c r="W13" s="364"/>
      <c r="X13" s="364"/>
      <c r="Y13" s="364"/>
      <c r="Z13" s="364"/>
    </row>
    <row r="14" spans="1:26" s="365" customFormat="1" ht="27" customHeight="1" x14ac:dyDescent="0.25">
      <c r="A14" s="367" t="s">
        <v>312</v>
      </c>
      <c r="B14" s="360">
        <f>Eingabeparameter!F18</f>
        <v>9</v>
      </c>
      <c r="C14" s="361" t="s">
        <v>671</v>
      </c>
      <c r="D14" s="362">
        <f>'Kosten Systemaufbau'!$K16/$B14</f>
        <v>763333.33333333337</v>
      </c>
      <c r="E14" s="362">
        <f>'Kosten Systemaufbau'!$K16/$B14</f>
        <v>763333.33333333337</v>
      </c>
      <c r="F14" s="362">
        <f>'Kosten Systemaufbau'!$K16/$B14</f>
        <v>763333.33333333337</v>
      </c>
      <c r="G14" s="362">
        <f>'Kosten Systemaufbau'!$K16/$B14</f>
        <v>763333.33333333337</v>
      </c>
      <c r="H14" s="362">
        <f>'Kosten Systemaufbau'!$K16/$B14</f>
        <v>763333.33333333337</v>
      </c>
      <c r="I14" s="362">
        <f>'Kosten Systemaufbau'!$K16/$B14</f>
        <v>763333.33333333337</v>
      </c>
      <c r="J14" s="362">
        <f>'Kosten Systemaufbau'!$K16/$B14</f>
        <v>763333.33333333337</v>
      </c>
      <c r="K14" s="362">
        <f>'Kosten Systemaufbau'!$K16/$B14</f>
        <v>763333.33333333337</v>
      </c>
      <c r="L14" s="362">
        <f>'Kosten Systemaufbau'!$K16/$B14</f>
        <v>763333.33333333337</v>
      </c>
      <c r="M14" s="362">
        <f>'Kosten Systemaufbau'!$K16/$B14</f>
        <v>763333.33333333337</v>
      </c>
      <c r="N14" s="362">
        <f>'Kosten Systemaufbau'!$K16/$B14</f>
        <v>763333.33333333337</v>
      </c>
      <c r="O14" s="362">
        <f>'Kosten Systemaufbau'!$K16/$B14</f>
        <v>763333.33333333337</v>
      </c>
      <c r="P14" s="362">
        <f>'Kosten Systemaufbau'!$K16/$B14</f>
        <v>763333.33333333337</v>
      </c>
      <c r="Q14" s="362">
        <f>'Kosten Systemaufbau'!$K16/$B14</f>
        <v>763333.33333333337</v>
      </c>
      <c r="R14" s="362">
        <f>'Kosten Systemaufbau'!$K16/$B14</f>
        <v>763333.33333333337</v>
      </c>
      <c r="S14" s="363">
        <f t="shared" si="0"/>
        <v>11450000.000000002</v>
      </c>
      <c r="T14" s="364"/>
      <c r="U14" s="364"/>
      <c r="V14" s="364"/>
      <c r="W14" s="364"/>
      <c r="X14" s="364"/>
      <c r="Y14" s="364"/>
      <c r="Z14" s="364"/>
    </row>
    <row r="15" spans="1:26" s="365" customFormat="1" ht="27" customHeight="1" x14ac:dyDescent="0.25">
      <c r="A15" s="366" t="s">
        <v>588</v>
      </c>
      <c r="B15" s="360">
        <f>Eingabeparameter!F19</f>
        <v>9</v>
      </c>
      <c r="C15" s="361" t="s">
        <v>671</v>
      </c>
      <c r="D15" s="362">
        <f>'Kosten Systemaufbau'!$K17/$B15</f>
        <v>1885500</v>
      </c>
      <c r="E15" s="362">
        <f>'Kosten Systemaufbau'!$K17/$B15</f>
        <v>1885500</v>
      </c>
      <c r="F15" s="362">
        <f>'Kosten Systemaufbau'!$K17/$B15</f>
        <v>1885500</v>
      </c>
      <c r="G15" s="362">
        <f>'Kosten Systemaufbau'!$K17/$B15</f>
        <v>1885500</v>
      </c>
      <c r="H15" s="362">
        <f>'Kosten Systemaufbau'!$K17/$B15</f>
        <v>1885500</v>
      </c>
      <c r="I15" s="362">
        <f>'Kosten Systemaufbau'!$K17/$B15</f>
        <v>1885500</v>
      </c>
      <c r="J15" s="362">
        <f>'Kosten Systemaufbau'!$K17/$B15</f>
        <v>1885500</v>
      </c>
      <c r="K15" s="362">
        <f>'Kosten Systemaufbau'!$K17/$B15</f>
        <v>1885500</v>
      </c>
      <c r="L15" s="362">
        <f>'Kosten Systemaufbau'!$K17/$B15</f>
        <v>1885500</v>
      </c>
      <c r="M15" s="362">
        <f>'Kosten Systemaufbau'!$K17/$B15</f>
        <v>1885500</v>
      </c>
      <c r="N15" s="362">
        <f>'Kosten Systemaufbau'!$K17/$B15</f>
        <v>1885500</v>
      </c>
      <c r="O15" s="362">
        <f>'Kosten Systemaufbau'!$K17/$B15</f>
        <v>1885500</v>
      </c>
      <c r="P15" s="362">
        <f>'Kosten Systemaufbau'!$K17/$B15</f>
        <v>1885500</v>
      </c>
      <c r="Q15" s="362">
        <f>'Kosten Systemaufbau'!$K17/$B15</f>
        <v>1885500</v>
      </c>
      <c r="R15" s="362">
        <f>'Kosten Systemaufbau'!$K17/$B15</f>
        <v>1885500</v>
      </c>
      <c r="S15" s="363">
        <f>SUM(D15:R15)</f>
        <v>28282500</v>
      </c>
      <c r="T15" s="364"/>
      <c r="U15" s="364"/>
      <c r="V15" s="364"/>
      <c r="W15" s="364"/>
      <c r="X15" s="364"/>
      <c r="Y15" s="364"/>
      <c r="Z15" s="364"/>
    </row>
    <row r="16" spans="1:26" s="365" customFormat="1" ht="27" customHeight="1" x14ac:dyDescent="0.25">
      <c r="A16" s="367" t="s">
        <v>420</v>
      </c>
      <c r="B16" s="360">
        <f>Eingabeparameter!F21</f>
        <v>3</v>
      </c>
      <c r="C16" s="361" t="s">
        <v>671</v>
      </c>
      <c r="D16" s="362">
        <f>'Kosten Systemaufbau'!$K18/$B16</f>
        <v>112916.66666666667</v>
      </c>
      <c r="E16" s="362">
        <f>'Kosten Systemaufbau'!$K18/$B16</f>
        <v>112916.66666666667</v>
      </c>
      <c r="F16" s="362">
        <f>'Kosten Systemaufbau'!$K18/$B16</f>
        <v>112916.66666666667</v>
      </c>
      <c r="G16" s="362">
        <f>'Kosten Systemaufbau'!$K18/$B16</f>
        <v>112916.66666666667</v>
      </c>
      <c r="H16" s="362">
        <f>'Kosten Systemaufbau'!$K18/$B16</f>
        <v>112916.66666666667</v>
      </c>
      <c r="I16" s="362">
        <f>'Kosten Systemaufbau'!$K18/$B16</f>
        <v>112916.66666666667</v>
      </c>
      <c r="J16" s="362">
        <f>'Kosten Systemaufbau'!$K18/$B16</f>
        <v>112916.66666666667</v>
      </c>
      <c r="K16" s="362">
        <f>'Kosten Systemaufbau'!$K18/$B16</f>
        <v>112916.66666666667</v>
      </c>
      <c r="L16" s="362">
        <f>'Kosten Systemaufbau'!$K18/$B16</f>
        <v>112916.66666666667</v>
      </c>
      <c r="M16" s="362">
        <f>'Kosten Systemaufbau'!$K18/$B16</f>
        <v>112916.66666666667</v>
      </c>
      <c r="N16" s="362">
        <f>'Kosten Systemaufbau'!$K18/$B16</f>
        <v>112916.66666666667</v>
      </c>
      <c r="O16" s="362">
        <f>'Kosten Systemaufbau'!$K18/$B16</f>
        <v>112916.66666666667</v>
      </c>
      <c r="P16" s="362">
        <f>'Kosten Systemaufbau'!$K18/$B16</f>
        <v>112916.66666666667</v>
      </c>
      <c r="Q16" s="362">
        <f>'Kosten Systemaufbau'!$K18/$B16</f>
        <v>112916.66666666667</v>
      </c>
      <c r="R16" s="362">
        <f>'Kosten Systemaufbau'!$K18/$B16</f>
        <v>112916.66666666667</v>
      </c>
      <c r="S16" s="363">
        <f t="shared" si="0"/>
        <v>1693750.0000000002</v>
      </c>
      <c r="T16" s="364"/>
      <c r="U16" s="364"/>
      <c r="V16" s="364"/>
      <c r="W16" s="364"/>
      <c r="X16" s="364"/>
      <c r="Y16" s="364"/>
      <c r="Z16" s="364"/>
    </row>
    <row r="17" spans="1:26" s="365" customFormat="1" ht="27" customHeight="1" x14ac:dyDescent="0.25">
      <c r="A17" s="367" t="s">
        <v>421</v>
      </c>
      <c r="B17" s="360">
        <f>Eingabeparameter!F22</f>
        <v>3</v>
      </c>
      <c r="C17" s="361" t="s">
        <v>671</v>
      </c>
      <c r="D17" s="362">
        <f>'Kosten Systemaufbau'!$K19/$B17</f>
        <v>320750</v>
      </c>
      <c r="E17" s="362">
        <f>'Kosten Systemaufbau'!$K19/$B17</f>
        <v>320750</v>
      </c>
      <c r="F17" s="362">
        <f>'Kosten Systemaufbau'!$K19/$B17</f>
        <v>320750</v>
      </c>
      <c r="G17" s="362">
        <f>'Kosten Systemaufbau'!$K19/$B17</f>
        <v>320750</v>
      </c>
      <c r="H17" s="362">
        <f>'Kosten Systemaufbau'!$K19/$B17</f>
        <v>320750</v>
      </c>
      <c r="I17" s="362">
        <f>'Kosten Systemaufbau'!$K19/$B17</f>
        <v>320750</v>
      </c>
      <c r="J17" s="362">
        <f>'Kosten Systemaufbau'!$K19/$B17</f>
        <v>320750</v>
      </c>
      <c r="K17" s="362">
        <f>'Kosten Systemaufbau'!$K19/$B17</f>
        <v>320750</v>
      </c>
      <c r="L17" s="362">
        <f>'Kosten Systemaufbau'!$K19/$B17</f>
        <v>320750</v>
      </c>
      <c r="M17" s="362">
        <f>'Kosten Systemaufbau'!$K19/$B17</f>
        <v>320750</v>
      </c>
      <c r="N17" s="362">
        <f>'Kosten Systemaufbau'!$K19/$B17</f>
        <v>320750</v>
      </c>
      <c r="O17" s="362">
        <f>'Kosten Systemaufbau'!$K19/$B17</f>
        <v>320750</v>
      </c>
      <c r="P17" s="362">
        <f>'Kosten Systemaufbau'!$K19/$B17</f>
        <v>320750</v>
      </c>
      <c r="Q17" s="362">
        <f>'Kosten Systemaufbau'!$K19/$B17</f>
        <v>320750</v>
      </c>
      <c r="R17" s="362">
        <f>'Kosten Systemaufbau'!$K19/$B17</f>
        <v>320750</v>
      </c>
      <c r="S17" s="363">
        <f t="shared" si="0"/>
        <v>4811250</v>
      </c>
      <c r="T17" s="364"/>
      <c r="U17" s="364"/>
      <c r="V17" s="364"/>
      <c r="W17" s="364"/>
      <c r="X17" s="364"/>
      <c r="Y17" s="364"/>
      <c r="Z17" s="364"/>
    </row>
    <row r="18" spans="1:26" s="365" customFormat="1" ht="27" customHeight="1" x14ac:dyDescent="0.25">
      <c r="A18" s="368" t="s">
        <v>422</v>
      </c>
      <c r="B18" s="369">
        <f>Eingabeparameter!F24</f>
        <v>5</v>
      </c>
      <c r="C18" s="361" t="s">
        <v>671</v>
      </c>
      <c r="D18" s="362">
        <f>'Kosten Systemaufbau'!$K20/$B18</f>
        <v>199205</v>
      </c>
      <c r="E18" s="362">
        <f>'Kosten Systemaufbau'!$K20/$B18</f>
        <v>199205</v>
      </c>
      <c r="F18" s="362">
        <f>'Kosten Systemaufbau'!$K20/$B18</f>
        <v>199205</v>
      </c>
      <c r="G18" s="362">
        <f>'Kosten Systemaufbau'!$K20/$B18</f>
        <v>199205</v>
      </c>
      <c r="H18" s="362">
        <f>'Kosten Systemaufbau'!$K20/$B18</f>
        <v>199205</v>
      </c>
      <c r="I18" s="362">
        <f>'Kosten Systemaufbau'!$K20/$B18</f>
        <v>199205</v>
      </c>
      <c r="J18" s="362">
        <f>'Kosten Systemaufbau'!$K20/$B18</f>
        <v>199205</v>
      </c>
      <c r="K18" s="362">
        <f>'Kosten Systemaufbau'!$K20/$B18</f>
        <v>199205</v>
      </c>
      <c r="L18" s="362">
        <f>'Kosten Systemaufbau'!$K20/$B18</f>
        <v>199205</v>
      </c>
      <c r="M18" s="362">
        <f>'Kosten Systemaufbau'!$K20/$B18</f>
        <v>199205</v>
      </c>
      <c r="N18" s="362">
        <f>'Kosten Systemaufbau'!$K20/$B18</f>
        <v>199205</v>
      </c>
      <c r="O18" s="362">
        <f>'Kosten Systemaufbau'!$K20/$B18</f>
        <v>199205</v>
      </c>
      <c r="P18" s="362">
        <f>'Kosten Systemaufbau'!$K20/$B18</f>
        <v>199205</v>
      </c>
      <c r="Q18" s="362">
        <f>'Kosten Systemaufbau'!$K20/$B18</f>
        <v>199205</v>
      </c>
      <c r="R18" s="362">
        <f>'Kosten Systemaufbau'!$K20/$B18</f>
        <v>199205</v>
      </c>
      <c r="S18" s="363">
        <f t="shared" si="0"/>
        <v>2988075</v>
      </c>
      <c r="T18" s="364"/>
      <c r="U18" s="364"/>
      <c r="V18" s="364"/>
      <c r="W18" s="364"/>
      <c r="X18" s="364"/>
      <c r="Y18" s="364"/>
      <c r="Z18" s="364"/>
    </row>
    <row r="19" spans="1:26" s="365" customFormat="1" ht="35.1" customHeight="1" x14ac:dyDescent="0.25">
      <c r="A19" s="370" t="s">
        <v>58</v>
      </c>
      <c r="B19" s="369">
        <f>Eingabeparameter!F4</f>
        <v>18</v>
      </c>
      <c r="C19" s="361" t="s">
        <v>671</v>
      </c>
      <c r="D19" s="362">
        <f>'Kosten Systemaufbau'!$K21/$B19</f>
        <v>551666.66666666663</v>
      </c>
      <c r="E19" s="362">
        <f>'Kosten Systemaufbau'!$K21/$B19</f>
        <v>551666.66666666663</v>
      </c>
      <c r="F19" s="362">
        <f>'Kosten Systemaufbau'!$K21/$B19</f>
        <v>551666.66666666663</v>
      </c>
      <c r="G19" s="362">
        <f>'Kosten Systemaufbau'!$K21/$B19</f>
        <v>551666.66666666663</v>
      </c>
      <c r="H19" s="362">
        <f>'Kosten Systemaufbau'!$K21/$B19</f>
        <v>551666.66666666663</v>
      </c>
      <c r="I19" s="362">
        <f>'Kosten Systemaufbau'!$K21/$B19</f>
        <v>551666.66666666663</v>
      </c>
      <c r="J19" s="362">
        <f>'Kosten Systemaufbau'!$K21/$B19</f>
        <v>551666.66666666663</v>
      </c>
      <c r="K19" s="362">
        <f>'Kosten Systemaufbau'!$K21/$B19</f>
        <v>551666.66666666663</v>
      </c>
      <c r="L19" s="362">
        <f>'Kosten Systemaufbau'!$K21/$B19</f>
        <v>551666.66666666663</v>
      </c>
      <c r="M19" s="362">
        <f>'Kosten Systemaufbau'!$K21/$B19</f>
        <v>551666.66666666663</v>
      </c>
      <c r="N19" s="362">
        <f>'Kosten Systemaufbau'!$K21/$B19</f>
        <v>551666.66666666663</v>
      </c>
      <c r="O19" s="362">
        <f>'Kosten Systemaufbau'!$K21/$B19</f>
        <v>551666.66666666663</v>
      </c>
      <c r="P19" s="362">
        <f>'Kosten Systemaufbau'!$K21/$B19</f>
        <v>551666.66666666663</v>
      </c>
      <c r="Q19" s="362">
        <f>'Kosten Systemaufbau'!$K21/$B19</f>
        <v>551666.66666666663</v>
      </c>
      <c r="R19" s="362">
        <f>'Kosten Systemaufbau'!$K21/$B19</f>
        <v>551666.66666666663</v>
      </c>
      <c r="S19" s="363">
        <f>SUM(D19:R19)</f>
        <v>8275000.0000000019</v>
      </c>
      <c r="T19" s="364"/>
      <c r="U19" s="364"/>
      <c r="V19" s="364"/>
      <c r="W19" s="364"/>
      <c r="X19" s="364"/>
      <c r="Y19" s="364"/>
      <c r="Z19" s="364"/>
    </row>
    <row r="20" spans="1:26" s="365" customFormat="1" ht="35.1" customHeight="1" thickBot="1" x14ac:dyDescent="0.25">
      <c r="A20" s="371" t="s">
        <v>59</v>
      </c>
      <c r="B20" s="369">
        <f>Eingabeparameter!F4</f>
        <v>18</v>
      </c>
      <c r="C20" s="361" t="s">
        <v>671</v>
      </c>
      <c r="D20" s="362">
        <f>'Kosten Systemaufbau'!$K22/$B20</f>
        <v>546666.66666666663</v>
      </c>
      <c r="E20" s="362">
        <f>'Kosten Systemaufbau'!$K22/$B20</f>
        <v>546666.66666666663</v>
      </c>
      <c r="F20" s="362">
        <f>'Kosten Systemaufbau'!$K22/$B20</f>
        <v>546666.66666666663</v>
      </c>
      <c r="G20" s="362">
        <f>'Kosten Systemaufbau'!$K22/$B20</f>
        <v>546666.66666666663</v>
      </c>
      <c r="H20" s="362">
        <f>'Kosten Systemaufbau'!$K22/$B20</f>
        <v>546666.66666666663</v>
      </c>
      <c r="I20" s="362">
        <f>'Kosten Systemaufbau'!$K22/$B20</f>
        <v>546666.66666666663</v>
      </c>
      <c r="J20" s="362">
        <f>'Kosten Systemaufbau'!$K22/$B20</f>
        <v>546666.66666666663</v>
      </c>
      <c r="K20" s="362">
        <f>'Kosten Systemaufbau'!$K22/$B20</f>
        <v>546666.66666666663</v>
      </c>
      <c r="L20" s="362">
        <f>'Kosten Systemaufbau'!$K22/$B20</f>
        <v>546666.66666666663</v>
      </c>
      <c r="M20" s="362">
        <f>'Kosten Systemaufbau'!$K22/$B20</f>
        <v>546666.66666666663</v>
      </c>
      <c r="N20" s="362">
        <f>'Kosten Systemaufbau'!$K22/$B20</f>
        <v>546666.66666666663</v>
      </c>
      <c r="O20" s="362">
        <f>'Kosten Systemaufbau'!$K22/$B20</f>
        <v>546666.66666666663</v>
      </c>
      <c r="P20" s="362">
        <f>'Kosten Systemaufbau'!$K22/$B20</f>
        <v>546666.66666666663</v>
      </c>
      <c r="Q20" s="362">
        <f>'Kosten Systemaufbau'!$K22/$B20</f>
        <v>546666.66666666663</v>
      </c>
      <c r="R20" s="362">
        <f>'Kosten Systemaufbau'!$K22/$B20</f>
        <v>546666.66666666663</v>
      </c>
      <c r="S20" s="363">
        <f>SUM(D20:R20)</f>
        <v>8200000.0000000019</v>
      </c>
      <c r="T20" s="364"/>
      <c r="U20" s="364"/>
      <c r="V20" s="364"/>
      <c r="W20" s="364"/>
      <c r="X20" s="364"/>
      <c r="Y20" s="364"/>
      <c r="Z20" s="364"/>
    </row>
    <row r="21" spans="1:26" s="347" customFormat="1" ht="27" customHeight="1" thickBot="1" x14ac:dyDescent="0.3">
      <c r="A21" s="372" t="s">
        <v>681</v>
      </c>
      <c r="B21" s="348"/>
      <c r="C21" s="373"/>
      <c r="D21" s="374">
        <f t="shared" ref="D21:S21" si="1">SUM(D6:D20)</f>
        <v>13906182.777777776</v>
      </c>
      <c r="E21" s="374">
        <f t="shared" si="1"/>
        <v>13906182.777777776</v>
      </c>
      <c r="F21" s="374">
        <f t="shared" si="1"/>
        <v>13906182.777777776</v>
      </c>
      <c r="G21" s="374">
        <f t="shared" si="1"/>
        <v>13906182.777777776</v>
      </c>
      <c r="H21" s="374">
        <f t="shared" si="1"/>
        <v>13906182.777777776</v>
      </c>
      <c r="I21" s="374">
        <f t="shared" si="1"/>
        <v>13906182.777777776</v>
      </c>
      <c r="J21" s="374">
        <f t="shared" si="1"/>
        <v>13906182.777777776</v>
      </c>
      <c r="K21" s="374">
        <f t="shared" si="1"/>
        <v>13906182.777777776</v>
      </c>
      <c r="L21" s="374">
        <f t="shared" si="1"/>
        <v>13906182.777777776</v>
      </c>
      <c r="M21" s="374">
        <f t="shared" si="1"/>
        <v>13906182.777777776</v>
      </c>
      <c r="N21" s="374">
        <f t="shared" si="1"/>
        <v>13906182.777777776</v>
      </c>
      <c r="O21" s="374">
        <f t="shared" si="1"/>
        <v>13906182.777777776</v>
      </c>
      <c r="P21" s="374">
        <f t="shared" si="1"/>
        <v>13906182.777777776</v>
      </c>
      <c r="Q21" s="374">
        <f t="shared" si="1"/>
        <v>13906182.777777776</v>
      </c>
      <c r="R21" s="374">
        <f t="shared" si="1"/>
        <v>13906182.777777776</v>
      </c>
      <c r="S21" s="375">
        <f t="shared" si="1"/>
        <v>208592741.66666669</v>
      </c>
    </row>
    <row r="22" spans="1:26" s="350" customFormat="1" ht="27" customHeight="1" x14ac:dyDescent="0.25">
      <c r="A22" s="349" t="s">
        <v>131</v>
      </c>
      <c r="B22" s="348"/>
      <c r="C22" s="349"/>
    </row>
    <row r="23" spans="1:26" s="365" customFormat="1" ht="27" customHeight="1" x14ac:dyDescent="0.25">
      <c r="A23" s="376" t="s">
        <v>47</v>
      </c>
      <c r="B23" s="377"/>
      <c r="C23" s="378"/>
      <c r="D23" s="362">
        <f>'Kosten Systembetrieb'!$I7+'Kosten Systembetrieb'!$J7</f>
        <v>1710000</v>
      </c>
      <c r="E23" s="362">
        <f>'Kosten Systembetrieb'!$K7</f>
        <v>1710000</v>
      </c>
      <c r="F23" s="362">
        <f>'Kosten Systembetrieb'!$K7</f>
        <v>1710000</v>
      </c>
      <c r="G23" s="362">
        <f>'Kosten Systembetrieb'!$K7</f>
        <v>1710000</v>
      </c>
      <c r="H23" s="362">
        <f>'Kosten Systembetrieb'!$K7</f>
        <v>1710000</v>
      </c>
      <c r="I23" s="362">
        <f>'Kosten Systembetrieb'!$K7</f>
        <v>1710000</v>
      </c>
      <c r="J23" s="362">
        <f>'Kosten Systembetrieb'!$K7</f>
        <v>1710000</v>
      </c>
      <c r="K23" s="362">
        <f>'Kosten Systembetrieb'!$K7</f>
        <v>1710000</v>
      </c>
      <c r="L23" s="362">
        <f>'Kosten Systembetrieb'!$K7</f>
        <v>1710000</v>
      </c>
      <c r="M23" s="362">
        <f>'Kosten Systembetrieb'!$K7</f>
        <v>1710000</v>
      </c>
      <c r="N23" s="362">
        <f>'Kosten Systembetrieb'!$K7</f>
        <v>1710000</v>
      </c>
      <c r="O23" s="362">
        <f>'Kosten Systembetrieb'!$K7</f>
        <v>1710000</v>
      </c>
      <c r="P23" s="362">
        <f>'Kosten Systembetrieb'!$K7</f>
        <v>1710000</v>
      </c>
      <c r="Q23" s="362">
        <f>'Kosten Systembetrieb'!$K7</f>
        <v>1710000</v>
      </c>
      <c r="R23" s="362">
        <f>'Kosten Systembetrieb'!$K7</f>
        <v>1710000</v>
      </c>
    </row>
    <row r="24" spans="1:26" s="365" customFormat="1" ht="27" customHeight="1" x14ac:dyDescent="0.25">
      <c r="A24" s="376" t="s">
        <v>54</v>
      </c>
      <c r="B24" s="377"/>
      <c r="C24" s="378"/>
      <c r="D24" s="362">
        <f>'Kosten Systembetrieb'!$K8</f>
        <v>2433920</v>
      </c>
      <c r="E24" s="362">
        <f>'Kosten Systembetrieb'!$K8</f>
        <v>2433920</v>
      </c>
      <c r="F24" s="362">
        <f>'Kosten Systembetrieb'!$K8</f>
        <v>2433920</v>
      </c>
      <c r="G24" s="362">
        <f>'Kosten Systembetrieb'!$K8</f>
        <v>2433920</v>
      </c>
      <c r="H24" s="362">
        <f>'Kosten Systembetrieb'!$K8</f>
        <v>2433920</v>
      </c>
      <c r="I24" s="362">
        <f>'Kosten Systembetrieb'!$K8</f>
        <v>2433920</v>
      </c>
      <c r="J24" s="362">
        <f>'Kosten Systembetrieb'!$K8</f>
        <v>2433920</v>
      </c>
      <c r="K24" s="362">
        <f>'Kosten Systembetrieb'!$K8</f>
        <v>2433920</v>
      </c>
      <c r="L24" s="362">
        <f>'Kosten Systembetrieb'!$K8</f>
        <v>2433920</v>
      </c>
      <c r="M24" s="362">
        <f>'Kosten Systembetrieb'!$K8</f>
        <v>2433920</v>
      </c>
      <c r="N24" s="362">
        <f>'Kosten Systembetrieb'!$K8</f>
        <v>2433920</v>
      </c>
      <c r="O24" s="362">
        <f>'Kosten Systembetrieb'!$K8</f>
        <v>2433920</v>
      </c>
      <c r="P24" s="362">
        <f>'Kosten Systembetrieb'!$K8</f>
        <v>2433920</v>
      </c>
      <c r="Q24" s="362">
        <f>'Kosten Systembetrieb'!$K8</f>
        <v>2433920</v>
      </c>
      <c r="R24" s="362">
        <f>'Kosten Systembetrieb'!$K8</f>
        <v>2433920</v>
      </c>
    </row>
    <row r="25" spans="1:26" s="365" customFormat="1" ht="27" customHeight="1" x14ac:dyDescent="0.25">
      <c r="A25" s="376" t="s">
        <v>356</v>
      </c>
      <c r="B25" s="377"/>
      <c r="C25" s="378"/>
      <c r="D25" s="362">
        <f>'Kosten Systembetrieb'!$K9</f>
        <v>10168875</v>
      </c>
      <c r="E25" s="362">
        <f>'Kosten Systembetrieb'!$K9</f>
        <v>10168875</v>
      </c>
      <c r="F25" s="362">
        <f>'Kosten Systembetrieb'!$K9</f>
        <v>10168875</v>
      </c>
      <c r="G25" s="362">
        <f>'Kosten Systembetrieb'!$K9</f>
        <v>10168875</v>
      </c>
      <c r="H25" s="362">
        <f>'Kosten Systembetrieb'!$K9</f>
        <v>10168875</v>
      </c>
      <c r="I25" s="362">
        <f>'Kosten Systembetrieb'!$K9</f>
        <v>10168875</v>
      </c>
      <c r="J25" s="362">
        <f>'Kosten Systembetrieb'!$K9</f>
        <v>10168875</v>
      </c>
      <c r="K25" s="362">
        <f>'Kosten Systembetrieb'!$K9</f>
        <v>10168875</v>
      </c>
      <c r="L25" s="362">
        <f>'Kosten Systembetrieb'!$K9</f>
        <v>10168875</v>
      </c>
      <c r="M25" s="362">
        <f>'Kosten Systembetrieb'!$K9</f>
        <v>10168875</v>
      </c>
      <c r="N25" s="362">
        <f>'Kosten Systembetrieb'!$K9</f>
        <v>10168875</v>
      </c>
      <c r="O25" s="362">
        <f>'Kosten Systembetrieb'!$K9</f>
        <v>10168875</v>
      </c>
      <c r="P25" s="362">
        <f>'Kosten Systembetrieb'!$K9</f>
        <v>10168875</v>
      </c>
      <c r="Q25" s="362">
        <f>'Kosten Systembetrieb'!$K9</f>
        <v>10168875</v>
      </c>
      <c r="R25" s="362">
        <f>'Kosten Systembetrieb'!$K9</f>
        <v>10168875</v>
      </c>
    </row>
    <row r="26" spans="1:26" s="365" customFormat="1" ht="27" customHeight="1" x14ac:dyDescent="0.25">
      <c r="A26" s="376" t="s">
        <v>354</v>
      </c>
      <c r="B26" s="377"/>
      <c r="C26" s="378"/>
      <c r="D26" s="362">
        <f>'Kosten Systembetrieb'!$K10</f>
        <v>0</v>
      </c>
      <c r="E26" s="362">
        <f>'Kosten Systembetrieb'!$K10</f>
        <v>0</v>
      </c>
      <c r="F26" s="362">
        <f>'Kosten Systembetrieb'!$K10</f>
        <v>0</v>
      </c>
      <c r="G26" s="362">
        <f>'Kosten Systembetrieb'!$K10</f>
        <v>0</v>
      </c>
      <c r="H26" s="362">
        <f>'Kosten Systembetrieb'!$K10</f>
        <v>0</v>
      </c>
      <c r="I26" s="362">
        <f>'Kosten Systembetrieb'!$K10</f>
        <v>0</v>
      </c>
      <c r="J26" s="362">
        <f>'Kosten Systembetrieb'!$K10</f>
        <v>0</v>
      </c>
      <c r="K26" s="362">
        <f>'Kosten Systembetrieb'!$K10</f>
        <v>0</v>
      </c>
      <c r="L26" s="362">
        <f>'Kosten Systembetrieb'!$K10</f>
        <v>0</v>
      </c>
      <c r="M26" s="362">
        <f>'Kosten Systembetrieb'!$K10</f>
        <v>0</v>
      </c>
      <c r="N26" s="362">
        <f>'Kosten Systembetrieb'!$K10</f>
        <v>0</v>
      </c>
      <c r="O26" s="362">
        <f>'Kosten Systembetrieb'!$K10</f>
        <v>0</v>
      </c>
      <c r="P26" s="362">
        <f>'Kosten Systembetrieb'!$K10</f>
        <v>0</v>
      </c>
      <c r="Q26" s="362">
        <f>'Kosten Systembetrieb'!$K10</f>
        <v>0</v>
      </c>
      <c r="R26" s="362">
        <f>'Kosten Systembetrieb'!$K10</f>
        <v>0</v>
      </c>
    </row>
    <row r="27" spans="1:26" s="365" customFormat="1" ht="27" customHeight="1" x14ac:dyDescent="0.25">
      <c r="A27" s="376" t="s">
        <v>45</v>
      </c>
      <c r="B27" s="377"/>
      <c r="C27" s="378"/>
      <c r="D27" s="362">
        <f>'Kosten Systembetrieb'!$K11</f>
        <v>1113990</v>
      </c>
      <c r="E27" s="362">
        <f>'Kosten Systembetrieb'!$K11</f>
        <v>1113990</v>
      </c>
      <c r="F27" s="362">
        <f>'Kosten Systembetrieb'!$K11</f>
        <v>1113990</v>
      </c>
      <c r="G27" s="362">
        <f>'Kosten Systembetrieb'!$K11</f>
        <v>1113990</v>
      </c>
      <c r="H27" s="362">
        <f>'Kosten Systembetrieb'!$K11</f>
        <v>1113990</v>
      </c>
      <c r="I27" s="362">
        <f>'Kosten Systembetrieb'!$K11</f>
        <v>1113990</v>
      </c>
      <c r="J27" s="362">
        <f>'Kosten Systembetrieb'!$K11</f>
        <v>1113990</v>
      </c>
      <c r="K27" s="362">
        <f>'Kosten Systembetrieb'!$K11</f>
        <v>1113990</v>
      </c>
      <c r="L27" s="362">
        <f>'Kosten Systembetrieb'!$K11</f>
        <v>1113990</v>
      </c>
      <c r="M27" s="362">
        <f>'Kosten Systembetrieb'!$K11</f>
        <v>1113990</v>
      </c>
      <c r="N27" s="362">
        <f>'Kosten Systembetrieb'!$K11</f>
        <v>1113990</v>
      </c>
      <c r="O27" s="362">
        <f>'Kosten Systembetrieb'!$K11</f>
        <v>1113990</v>
      </c>
      <c r="P27" s="362">
        <f>'Kosten Systembetrieb'!$K11</f>
        <v>1113990</v>
      </c>
      <c r="Q27" s="362">
        <f>'Kosten Systembetrieb'!$K11</f>
        <v>1113990</v>
      </c>
      <c r="R27" s="362">
        <f>'Kosten Systembetrieb'!$K11</f>
        <v>1113990</v>
      </c>
    </row>
    <row r="28" spans="1:26" s="365" customFormat="1" ht="27" customHeight="1" x14ac:dyDescent="0.25">
      <c r="A28" s="376" t="s">
        <v>320</v>
      </c>
      <c r="B28" s="377"/>
      <c r="C28" s="378"/>
      <c r="D28" s="362">
        <f>'Kosten Systembetrieb'!$K12</f>
        <v>0</v>
      </c>
      <c r="E28" s="362">
        <f>'Kosten Systembetrieb'!$K12</f>
        <v>0</v>
      </c>
      <c r="F28" s="362">
        <f>'Kosten Systembetrieb'!$K12</f>
        <v>0</v>
      </c>
      <c r="G28" s="362">
        <f>'Kosten Systembetrieb'!$K12</f>
        <v>0</v>
      </c>
      <c r="H28" s="362">
        <f>'Kosten Systembetrieb'!$K12</f>
        <v>0</v>
      </c>
      <c r="I28" s="362">
        <f>'Kosten Systembetrieb'!$K12</f>
        <v>0</v>
      </c>
      <c r="J28" s="362">
        <f>'Kosten Systembetrieb'!$K12</f>
        <v>0</v>
      </c>
      <c r="K28" s="362">
        <f>'Kosten Systembetrieb'!$K12</f>
        <v>0</v>
      </c>
      <c r="L28" s="362">
        <f>'Kosten Systembetrieb'!$K12</f>
        <v>0</v>
      </c>
      <c r="M28" s="362">
        <f>'Kosten Systembetrieb'!$K12</f>
        <v>0</v>
      </c>
      <c r="N28" s="362">
        <f>'Kosten Systembetrieb'!$K12</f>
        <v>0</v>
      </c>
      <c r="O28" s="362">
        <f>'Kosten Systembetrieb'!$K12</f>
        <v>0</v>
      </c>
      <c r="P28" s="362">
        <f>'Kosten Systembetrieb'!$K12</f>
        <v>0</v>
      </c>
      <c r="Q28" s="362">
        <f>'Kosten Systembetrieb'!$K12</f>
        <v>0</v>
      </c>
      <c r="R28" s="362">
        <f>'Kosten Systembetrieb'!$K12</f>
        <v>0</v>
      </c>
    </row>
    <row r="29" spans="1:26" s="365" customFormat="1" ht="27" customHeight="1" x14ac:dyDescent="0.25">
      <c r="A29" s="376" t="s">
        <v>317</v>
      </c>
      <c r="B29" s="377"/>
      <c r="C29" s="378"/>
      <c r="D29" s="362">
        <f>'Kosten Systembetrieb'!$K13</f>
        <v>8423720</v>
      </c>
      <c r="E29" s="362">
        <f>'Kosten Systembetrieb'!$K13</f>
        <v>8423720</v>
      </c>
      <c r="F29" s="362">
        <f>'Kosten Systembetrieb'!$K13</f>
        <v>8423720</v>
      </c>
      <c r="G29" s="362">
        <f>'Kosten Systembetrieb'!$K13</f>
        <v>8423720</v>
      </c>
      <c r="H29" s="362">
        <f>'Kosten Systembetrieb'!$K13</f>
        <v>8423720</v>
      </c>
      <c r="I29" s="362">
        <f>'Kosten Systembetrieb'!$K13</f>
        <v>8423720</v>
      </c>
      <c r="J29" s="362">
        <f>'Kosten Systembetrieb'!$K13</f>
        <v>8423720</v>
      </c>
      <c r="K29" s="362">
        <f>'Kosten Systembetrieb'!$K13</f>
        <v>8423720</v>
      </c>
      <c r="L29" s="362">
        <f>'Kosten Systembetrieb'!$K13</f>
        <v>8423720</v>
      </c>
      <c r="M29" s="362">
        <f>'Kosten Systembetrieb'!$K13</f>
        <v>8423720</v>
      </c>
      <c r="N29" s="362">
        <f>'Kosten Systembetrieb'!$K13</f>
        <v>8423720</v>
      </c>
      <c r="O29" s="362">
        <f>'Kosten Systembetrieb'!$K13</f>
        <v>8423720</v>
      </c>
      <c r="P29" s="362">
        <f>'Kosten Systembetrieb'!$K13</f>
        <v>8423720</v>
      </c>
      <c r="Q29" s="362">
        <f>'Kosten Systembetrieb'!$K13</f>
        <v>8423720</v>
      </c>
      <c r="R29" s="362">
        <f>'Kosten Systembetrieb'!$K13</f>
        <v>8423720</v>
      </c>
    </row>
    <row r="30" spans="1:26" s="365" customFormat="1" ht="27" customHeight="1" x14ac:dyDescent="0.25">
      <c r="A30" s="376" t="s">
        <v>396</v>
      </c>
      <c r="B30" s="377"/>
      <c r="C30" s="378"/>
      <c r="D30" s="362">
        <f>'Kosten Systembetrieb'!$K14</f>
        <v>1250000</v>
      </c>
      <c r="E30" s="362">
        <f>'Kosten Systembetrieb'!$K14</f>
        <v>1250000</v>
      </c>
      <c r="F30" s="362">
        <f>'Kosten Systembetrieb'!$K14</f>
        <v>1250000</v>
      </c>
      <c r="G30" s="362">
        <f>'Kosten Systembetrieb'!$K14</f>
        <v>1250000</v>
      </c>
      <c r="H30" s="362">
        <f>'Kosten Systembetrieb'!$K14</f>
        <v>1250000</v>
      </c>
      <c r="I30" s="362">
        <f>'Kosten Systembetrieb'!$K14</f>
        <v>1250000</v>
      </c>
      <c r="J30" s="362">
        <f>'Kosten Systembetrieb'!$K14</f>
        <v>1250000</v>
      </c>
      <c r="K30" s="362">
        <f>'Kosten Systembetrieb'!$K14</f>
        <v>1250000</v>
      </c>
      <c r="L30" s="362">
        <f>'Kosten Systembetrieb'!$K14</f>
        <v>1250000</v>
      </c>
      <c r="M30" s="362">
        <f>'Kosten Systembetrieb'!$K14</f>
        <v>1250000</v>
      </c>
      <c r="N30" s="362">
        <f>'Kosten Systembetrieb'!$K14</f>
        <v>1250000</v>
      </c>
      <c r="O30" s="362">
        <f>'Kosten Systembetrieb'!$K14</f>
        <v>1250000</v>
      </c>
      <c r="P30" s="362">
        <f>'Kosten Systembetrieb'!$K14</f>
        <v>1250000</v>
      </c>
      <c r="Q30" s="362">
        <f>'Kosten Systembetrieb'!$K14</f>
        <v>1250000</v>
      </c>
      <c r="R30" s="362">
        <f>'Kosten Systembetrieb'!$K14</f>
        <v>1250000</v>
      </c>
    </row>
    <row r="31" spans="1:26" s="365" customFormat="1" ht="27" customHeight="1" x14ac:dyDescent="0.25">
      <c r="A31" s="376" t="s">
        <v>314</v>
      </c>
      <c r="B31" s="377"/>
      <c r="C31" s="378"/>
      <c r="D31" s="362">
        <f>'Kosten Systembetrieb'!$K15</f>
        <v>1145000</v>
      </c>
      <c r="E31" s="362">
        <f>'Kosten Systembetrieb'!$K15</f>
        <v>1145000</v>
      </c>
      <c r="F31" s="362">
        <f>'Kosten Systembetrieb'!$K15</f>
        <v>1145000</v>
      </c>
      <c r="G31" s="362">
        <f>'Kosten Systembetrieb'!$K15</f>
        <v>1145000</v>
      </c>
      <c r="H31" s="362">
        <f>'Kosten Systembetrieb'!$K15</f>
        <v>1145000</v>
      </c>
      <c r="I31" s="362">
        <f>'Kosten Systembetrieb'!$K15</f>
        <v>1145000</v>
      </c>
      <c r="J31" s="362">
        <f>'Kosten Systembetrieb'!$K15</f>
        <v>1145000</v>
      </c>
      <c r="K31" s="362">
        <f>'Kosten Systembetrieb'!$K15</f>
        <v>1145000</v>
      </c>
      <c r="L31" s="362">
        <f>'Kosten Systembetrieb'!$K15</f>
        <v>1145000</v>
      </c>
      <c r="M31" s="362">
        <f>'Kosten Systembetrieb'!$K15</f>
        <v>1145000</v>
      </c>
      <c r="N31" s="362">
        <f>'Kosten Systembetrieb'!$K15</f>
        <v>1145000</v>
      </c>
      <c r="O31" s="362">
        <f>'Kosten Systembetrieb'!$K15</f>
        <v>1145000</v>
      </c>
      <c r="P31" s="362">
        <f>'Kosten Systembetrieb'!$K15</f>
        <v>1145000</v>
      </c>
      <c r="Q31" s="362">
        <f>'Kosten Systembetrieb'!$K15</f>
        <v>1145000</v>
      </c>
      <c r="R31" s="362">
        <f>'Kosten Systembetrieb'!$K15</f>
        <v>1145000</v>
      </c>
    </row>
    <row r="32" spans="1:26" s="365" customFormat="1" ht="27" customHeight="1" x14ac:dyDescent="0.25">
      <c r="A32" s="376" t="s">
        <v>587</v>
      </c>
      <c r="B32" s="377"/>
      <c r="C32" s="378"/>
      <c r="D32" s="362">
        <f>'Kosten Systembetrieb'!$K16</f>
        <v>3771000</v>
      </c>
      <c r="E32" s="362">
        <f>'Kosten Systembetrieb'!$K16</f>
        <v>3771000</v>
      </c>
      <c r="F32" s="362">
        <f>'Kosten Systembetrieb'!$K16</f>
        <v>3771000</v>
      </c>
      <c r="G32" s="362">
        <f>'Kosten Systembetrieb'!$K16</f>
        <v>3771000</v>
      </c>
      <c r="H32" s="362">
        <f>'Kosten Systembetrieb'!$K16</f>
        <v>3771000</v>
      </c>
      <c r="I32" s="362">
        <f>'Kosten Systembetrieb'!$K16</f>
        <v>3771000</v>
      </c>
      <c r="J32" s="362">
        <f>'Kosten Systembetrieb'!$K16</f>
        <v>3771000</v>
      </c>
      <c r="K32" s="362">
        <f>'Kosten Systembetrieb'!$K16</f>
        <v>3771000</v>
      </c>
      <c r="L32" s="362">
        <f>'Kosten Systembetrieb'!$K16</f>
        <v>3771000</v>
      </c>
      <c r="M32" s="362">
        <f>'Kosten Systembetrieb'!$K16</f>
        <v>3771000</v>
      </c>
      <c r="N32" s="362">
        <f>'Kosten Systembetrieb'!$K16</f>
        <v>3771000</v>
      </c>
      <c r="O32" s="362">
        <f>'Kosten Systembetrieb'!$K16</f>
        <v>3771000</v>
      </c>
      <c r="P32" s="362">
        <f>'Kosten Systembetrieb'!$K16</f>
        <v>3771000</v>
      </c>
      <c r="Q32" s="362">
        <f>'Kosten Systembetrieb'!$K16</f>
        <v>3771000</v>
      </c>
      <c r="R32" s="362">
        <f>'Kosten Systembetrieb'!$K16</f>
        <v>3771000</v>
      </c>
    </row>
    <row r="33" spans="1:18" s="365" customFormat="1" ht="27" customHeight="1" x14ac:dyDescent="0.25">
      <c r="A33" s="376" t="s">
        <v>374</v>
      </c>
      <c r="B33" s="377"/>
      <c r="C33" s="378"/>
      <c r="D33" s="362">
        <f>'Kosten Systembetrieb'!$K17</f>
        <v>108400</v>
      </c>
      <c r="E33" s="362">
        <f>'Kosten Systembetrieb'!$K17</f>
        <v>108400</v>
      </c>
      <c r="F33" s="362">
        <f>'Kosten Systembetrieb'!$K17</f>
        <v>108400</v>
      </c>
      <c r="G33" s="362">
        <f>'Kosten Systembetrieb'!$K17</f>
        <v>108400</v>
      </c>
      <c r="H33" s="362">
        <f>'Kosten Systembetrieb'!$K17</f>
        <v>108400</v>
      </c>
      <c r="I33" s="362">
        <f>'Kosten Systembetrieb'!$K17</f>
        <v>108400</v>
      </c>
      <c r="J33" s="362">
        <f>'Kosten Systembetrieb'!$K17</f>
        <v>108400</v>
      </c>
      <c r="K33" s="362">
        <f>'Kosten Systembetrieb'!$K17</f>
        <v>108400</v>
      </c>
      <c r="L33" s="362">
        <f>'Kosten Systembetrieb'!$K17</f>
        <v>108400</v>
      </c>
      <c r="M33" s="362">
        <f>'Kosten Systembetrieb'!$K17</f>
        <v>108400</v>
      </c>
      <c r="N33" s="362">
        <f>'Kosten Systembetrieb'!$K17</f>
        <v>108400</v>
      </c>
      <c r="O33" s="362">
        <f>'Kosten Systembetrieb'!$K17</f>
        <v>108400</v>
      </c>
      <c r="P33" s="362">
        <f>'Kosten Systembetrieb'!$K17</f>
        <v>108400</v>
      </c>
      <c r="Q33" s="362">
        <f>'Kosten Systembetrieb'!$K17</f>
        <v>108400</v>
      </c>
      <c r="R33" s="362">
        <f>'Kosten Systembetrieb'!$K17</f>
        <v>108400</v>
      </c>
    </row>
    <row r="34" spans="1:18" s="365" customFormat="1" ht="27" customHeight="1" x14ac:dyDescent="0.25">
      <c r="A34" s="376" t="s">
        <v>375</v>
      </c>
      <c r="B34" s="377"/>
      <c r="C34" s="378"/>
      <c r="D34" s="362">
        <f>'Kosten Systembetrieb'!$K18</f>
        <v>211695</v>
      </c>
      <c r="E34" s="362">
        <f>'Kosten Systembetrieb'!$K18</f>
        <v>211695</v>
      </c>
      <c r="F34" s="362">
        <f>'Kosten Systembetrieb'!$K18</f>
        <v>211695</v>
      </c>
      <c r="G34" s="362">
        <f>'Kosten Systembetrieb'!$K18</f>
        <v>211695</v>
      </c>
      <c r="H34" s="362">
        <f>'Kosten Systembetrieb'!$K18</f>
        <v>211695</v>
      </c>
      <c r="I34" s="362">
        <f>'Kosten Systembetrieb'!$K18</f>
        <v>211695</v>
      </c>
      <c r="J34" s="362">
        <f>'Kosten Systembetrieb'!$K18</f>
        <v>211695</v>
      </c>
      <c r="K34" s="362">
        <f>'Kosten Systembetrieb'!$K18</f>
        <v>211695</v>
      </c>
      <c r="L34" s="362">
        <f>'Kosten Systembetrieb'!$K18</f>
        <v>211695</v>
      </c>
      <c r="M34" s="362">
        <f>'Kosten Systembetrieb'!$K18</f>
        <v>211695</v>
      </c>
      <c r="N34" s="362">
        <f>'Kosten Systembetrieb'!$K18</f>
        <v>211695</v>
      </c>
      <c r="O34" s="362">
        <f>'Kosten Systembetrieb'!$K18</f>
        <v>211695</v>
      </c>
      <c r="P34" s="362">
        <f>'Kosten Systembetrieb'!$K18</f>
        <v>211695</v>
      </c>
      <c r="Q34" s="362">
        <f>'Kosten Systembetrieb'!$K18</f>
        <v>211695</v>
      </c>
      <c r="R34" s="362">
        <f>'Kosten Systembetrieb'!$K18</f>
        <v>211695</v>
      </c>
    </row>
    <row r="35" spans="1:18" s="365" customFormat="1" ht="27" customHeight="1" x14ac:dyDescent="0.25">
      <c r="A35" s="376" t="s">
        <v>419</v>
      </c>
      <c r="B35" s="377"/>
      <c r="C35" s="378"/>
      <c r="D35" s="362">
        <f>'Kosten Systembetrieb'!$K19</f>
        <v>0</v>
      </c>
      <c r="E35" s="362">
        <f>'Kosten Systembetrieb'!$K19</f>
        <v>0</v>
      </c>
      <c r="F35" s="362">
        <f>'Kosten Systembetrieb'!$K19</f>
        <v>0</v>
      </c>
      <c r="G35" s="362">
        <f>'Kosten Systembetrieb'!$K19</f>
        <v>0</v>
      </c>
      <c r="H35" s="362">
        <f>'Kosten Systembetrieb'!$K19</f>
        <v>0</v>
      </c>
      <c r="I35" s="362">
        <f>'Kosten Systembetrieb'!$K19</f>
        <v>0</v>
      </c>
      <c r="J35" s="362">
        <f>'Kosten Systembetrieb'!$K19</f>
        <v>0</v>
      </c>
      <c r="K35" s="362">
        <f>'Kosten Systembetrieb'!$K19</f>
        <v>0</v>
      </c>
      <c r="L35" s="362">
        <f>'Kosten Systembetrieb'!$K19</f>
        <v>0</v>
      </c>
      <c r="M35" s="362">
        <f>'Kosten Systembetrieb'!$K19</f>
        <v>0</v>
      </c>
      <c r="N35" s="362">
        <f>'Kosten Systembetrieb'!$K19</f>
        <v>0</v>
      </c>
      <c r="O35" s="362">
        <f>'Kosten Systembetrieb'!$K19</f>
        <v>0</v>
      </c>
      <c r="P35" s="362">
        <f>'Kosten Systembetrieb'!$K19</f>
        <v>0</v>
      </c>
      <c r="Q35" s="362">
        <f>'Kosten Systembetrieb'!$K19</f>
        <v>0</v>
      </c>
      <c r="R35" s="362">
        <f>'Kosten Systembetrieb'!$K19</f>
        <v>0</v>
      </c>
    </row>
    <row r="36" spans="1:18" s="365" customFormat="1" ht="27" customHeight="1" x14ac:dyDescent="0.25">
      <c r="A36" s="376" t="s">
        <v>55</v>
      </c>
      <c r="B36" s="377"/>
      <c r="C36" s="378"/>
      <c r="D36" s="362">
        <f>'Kosten Systembetrieb'!$K20</f>
        <v>1410000</v>
      </c>
      <c r="E36" s="362">
        <f>'Kosten Systembetrieb'!$K20</f>
        <v>1410000</v>
      </c>
      <c r="F36" s="362">
        <f>'Kosten Systembetrieb'!$K20</f>
        <v>1410000</v>
      </c>
      <c r="G36" s="362">
        <f>'Kosten Systembetrieb'!$K20</f>
        <v>1410000</v>
      </c>
      <c r="H36" s="362">
        <f>'Kosten Systembetrieb'!$K20</f>
        <v>1410000</v>
      </c>
      <c r="I36" s="362">
        <f>'Kosten Systembetrieb'!$K20</f>
        <v>1410000</v>
      </c>
      <c r="J36" s="362">
        <f>'Kosten Systembetrieb'!$K20</f>
        <v>1410000</v>
      </c>
      <c r="K36" s="362">
        <f>'Kosten Systembetrieb'!$K20</f>
        <v>1410000</v>
      </c>
      <c r="L36" s="362">
        <f>'Kosten Systembetrieb'!$K20</f>
        <v>1410000</v>
      </c>
      <c r="M36" s="362">
        <f>'Kosten Systembetrieb'!$K20</f>
        <v>1410000</v>
      </c>
      <c r="N36" s="362">
        <f>'Kosten Systembetrieb'!$K20</f>
        <v>1410000</v>
      </c>
      <c r="O36" s="362">
        <f>'Kosten Systembetrieb'!$K20</f>
        <v>1410000</v>
      </c>
      <c r="P36" s="362">
        <f>'Kosten Systembetrieb'!$K20</f>
        <v>1410000</v>
      </c>
      <c r="Q36" s="362">
        <f>'Kosten Systembetrieb'!$K20</f>
        <v>1410000</v>
      </c>
      <c r="R36" s="362">
        <f>'Kosten Systembetrieb'!$K20</f>
        <v>1410000</v>
      </c>
    </row>
    <row r="37" spans="1:18" s="365" customFormat="1" ht="27" customHeight="1" x14ac:dyDescent="0.25">
      <c r="A37" s="376" t="s">
        <v>56</v>
      </c>
      <c r="B37" s="377"/>
      <c r="C37" s="378"/>
      <c r="D37" s="362">
        <f>'Kosten Systembetrieb'!$K21</f>
        <v>2260000</v>
      </c>
      <c r="E37" s="362">
        <f>'Kosten Systembetrieb'!$K21</f>
        <v>2260000</v>
      </c>
      <c r="F37" s="362">
        <f>'Kosten Systembetrieb'!$K21</f>
        <v>2260000</v>
      </c>
      <c r="G37" s="362">
        <f>'Kosten Systembetrieb'!$K21</f>
        <v>2260000</v>
      </c>
      <c r="H37" s="362">
        <f>'Kosten Systembetrieb'!$K21</f>
        <v>2260000</v>
      </c>
      <c r="I37" s="362">
        <f>'Kosten Systembetrieb'!$K21</f>
        <v>2260000</v>
      </c>
      <c r="J37" s="362">
        <f>'Kosten Systembetrieb'!$K21</f>
        <v>2260000</v>
      </c>
      <c r="K37" s="362">
        <f>'Kosten Systembetrieb'!$K21</f>
        <v>2260000</v>
      </c>
      <c r="L37" s="362">
        <f>'Kosten Systembetrieb'!$K21</f>
        <v>2260000</v>
      </c>
      <c r="M37" s="362">
        <f>'Kosten Systembetrieb'!$K21</f>
        <v>2260000</v>
      </c>
      <c r="N37" s="362">
        <f>'Kosten Systembetrieb'!$K21</f>
        <v>2260000</v>
      </c>
      <c r="O37" s="362">
        <f>'Kosten Systembetrieb'!$K21</f>
        <v>2260000</v>
      </c>
      <c r="P37" s="362">
        <f>'Kosten Systembetrieb'!$K21</f>
        <v>2260000</v>
      </c>
      <c r="Q37" s="362">
        <f>'Kosten Systembetrieb'!$K21</f>
        <v>2260000</v>
      </c>
      <c r="R37" s="362">
        <f>'Kosten Systembetrieb'!$K21</f>
        <v>2260000</v>
      </c>
    </row>
    <row r="38" spans="1:18" s="365" customFormat="1" ht="27" customHeight="1" thickBot="1" x14ac:dyDescent="0.3">
      <c r="A38" s="379" t="s">
        <v>57</v>
      </c>
      <c r="B38" s="377"/>
      <c r="C38" s="378"/>
      <c r="D38" s="362"/>
      <c r="E38" s="362"/>
      <c r="F38" s="362"/>
      <c r="G38" s="362"/>
      <c r="H38" s="362"/>
      <c r="I38" s="362"/>
      <c r="J38" s="362"/>
      <c r="K38" s="362"/>
      <c r="L38" s="362"/>
      <c r="M38" s="362"/>
      <c r="N38" s="362"/>
      <c r="O38" s="362"/>
      <c r="P38" s="362"/>
      <c r="Q38" s="362"/>
      <c r="R38" s="362"/>
    </row>
    <row r="39" spans="1:18" s="347" customFormat="1" ht="27" customHeight="1" thickBot="1" x14ac:dyDescent="0.3">
      <c r="A39" s="372" t="s">
        <v>26</v>
      </c>
      <c r="B39" s="348"/>
      <c r="C39" s="373"/>
      <c r="D39" s="374">
        <f t="shared" ref="D39:R39" si="2">SUM(D23:D38)</f>
        <v>34006600</v>
      </c>
      <c r="E39" s="374">
        <f t="shared" si="2"/>
        <v>34006600</v>
      </c>
      <c r="F39" s="374">
        <f t="shared" si="2"/>
        <v>34006600</v>
      </c>
      <c r="G39" s="374">
        <f t="shared" si="2"/>
        <v>34006600</v>
      </c>
      <c r="H39" s="374">
        <f t="shared" si="2"/>
        <v>34006600</v>
      </c>
      <c r="I39" s="374">
        <f t="shared" si="2"/>
        <v>34006600</v>
      </c>
      <c r="J39" s="374">
        <f t="shared" si="2"/>
        <v>34006600</v>
      </c>
      <c r="K39" s="374">
        <f t="shared" si="2"/>
        <v>34006600</v>
      </c>
      <c r="L39" s="374">
        <f t="shared" si="2"/>
        <v>34006600</v>
      </c>
      <c r="M39" s="374">
        <f t="shared" si="2"/>
        <v>34006600</v>
      </c>
      <c r="N39" s="374">
        <f t="shared" si="2"/>
        <v>34006600</v>
      </c>
      <c r="O39" s="374">
        <f t="shared" si="2"/>
        <v>34006600</v>
      </c>
      <c r="P39" s="374">
        <f t="shared" si="2"/>
        <v>34006600</v>
      </c>
      <c r="Q39" s="374">
        <f t="shared" si="2"/>
        <v>34006600</v>
      </c>
      <c r="R39" s="374">
        <f t="shared" si="2"/>
        <v>34006600</v>
      </c>
    </row>
    <row r="40" spans="1:18" s="350" customFormat="1" ht="20.100000000000001" customHeight="1" x14ac:dyDescent="0.25">
      <c r="A40" s="347" t="s">
        <v>132</v>
      </c>
      <c r="B40" s="380"/>
      <c r="C40" s="353"/>
      <c r="D40" s="381"/>
      <c r="E40" s="381"/>
      <c r="F40" s="381"/>
      <c r="G40" s="381"/>
      <c r="H40" s="381"/>
      <c r="I40" s="381"/>
      <c r="J40" s="381"/>
      <c r="K40" s="381"/>
      <c r="L40" s="381"/>
      <c r="M40" s="381"/>
      <c r="N40" s="381"/>
      <c r="O40" s="381"/>
      <c r="P40" s="381"/>
      <c r="Q40" s="381"/>
      <c r="R40" s="381"/>
    </row>
    <row r="41" spans="1:18" s="365" customFormat="1" ht="27" customHeight="1" x14ac:dyDescent="0.25">
      <c r="A41" s="376" t="s">
        <v>32</v>
      </c>
      <c r="B41" s="377"/>
      <c r="C41" s="378"/>
      <c r="D41" s="362">
        <f>'Kosten Mobilfunkverträge'!$G$7</f>
        <v>2711700</v>
      </c>
      <c r="E41" s="362">
        <f>'Kosten Mobilfunkverträge'!$G$7</f>
        <v>2711700</v>
      </c>
      <c r="F41" s="362">
        <f>'Kosten Mobilfunkverträge'!$G$7</f>
        <v>2711700</v>
      </c>
      <c r="G41" s="362">
        <f>'Kosten Mobilfunkverträge'!$G$7</f>
        <v>2711700</v>
      </c>
      <c r="H41" s="362">
        <f>'Kosten Mobilfunkverträge'!$G$7</f>
        <v>2711700</v>
      </c>
      <c r="I41" s="362">
        <f>'Kosten Mobilfunkverträge'!$G$7</f>
        <v>2711700</v>
      </c>
      <c r="J41" s="362">
        <f>'Kosten Mobilfunkverträge'!$G$7</f>
        <v>2711700</v>
      </c>
      <c r="K41" s="362">
        <f>'Kosten Mobilfunkverträge'!$G$7</f>
        <v>2711700</v>
      </c>
      <c r="L41" s="362">
        <f>'Kosten Mobilfunkverträge'!$G$7</f>
        <v>2711700</v>
      </c>
      <c r="M41" s="362">
        <f>'Kosten Mobilfunkverträge'!$G$7</f>
        <v>2711700</v>
      </c>
      <c r="N41" s="362">
        <f>'Kosten Mobilfunkverträge'!$G$7</f>
        <v>2711700</v>
      </c>
      <c r="O41" s="362">
        <f>'Kosten Mobilfunkverträge'!$G$7</f>
        <v>2711700</v>
      </c>
      <c r="P41" s="362">
        <f>'Kosten Mobilfunkverträge'!$G$7</f>
        <v>2711700</v>
      </c>
      <c r="Q41" s="362">
        <f>'Kosten Mobilfunkverträge'!$G$7</f>
        <v>2711700</v>
      </c>
      <c r="R41" s="362">
        <f>'Kosten Mobilfunkverträge'!$G$7</f>
        <v>2711700</v>
      </c>
    </row>
    <row r="42" spans="1:18" s="365" customFormat="1" ht="27" customHeight="1" thickBot="1" x14ac:dyDescent="0.3">
      <c r="A42" s="376" t="s">
        <v>33</v>
      </c>
      <c r="B42" s="377"/>
      <c r="C42" s="378"/>
      <c r="D42" s="362">
        <f>'Kosten Mobilfunkverträge'!$G$8</f>
        <v>156900</v>
      </c>
      <c r="E42" s="362">
        <f>'Kosten Mobilfunkverträge'!$G$8</f>
        <v>156900</v>
      </c>
      <c r="F42" s="362">
        <f>'Kosten Mobilfunkverträge'!$G$8</f>
        <v>156900</v>
      </c>
      <c r="G42" s="362">
        <f>'Kosten Mobilfunkverträge'!$G$8</f>
        <v>156900</v>
      </c>
      <c r="H42" s="362">
        <f>'Kosten Mobilfunkverträge'!$G$8</f>
        <v>156900</v>
      </c>
      <c r="I42" s="362">
        <f>'Kosten Mobilfunkverträge'!$G$8</f>
        <v>156900</v>
      </c>
      <c r="J42" s="362">
        <f>'Kosten Mobilfunkverträge'!$G$8</f>
        <v>156900</v>
      </c>
      <c r="K42" s="362">
        <f>'Kosten Mobilfunkverträge'!$G$8</f>
        <v>156900</v>
      </c>
      <c r="L42" s="362">
        <f>'Kosten Mobilfunkverträge'!$G$8</f>
        <v>156900</v>
      </c>
      <c r="M42" s="362">
        <f>'Kosten Mobilfunkverträge'!$G$8</f>
        <v>156900</v>
      </c>
      <c r="N42" s="362">
        <f>'Kosten Mobilfunkverträge'!$G$8</f>
        <v>156900</v>
      </c>
      <c r="O42" s="362">
        <f>'Kosten Mobilfunkverträge'!$G$8</f>
        <v>156900</v>
      </c>
      <c r="P42" s="362">
        <f>'Kosten Mobilfunkverträge'!$G$8</f>
        <v>156900</v>
      </c>
      <c r="Q42" s="362">
        <f>'Kosten Mobilfunkverträge'!$G$8</f>
        <v>156900</v>
      </c>
      <c r="R42" s="362">
        <f>'Kosten Mobilfunkverträge'!$G$8</f>
        <v>156900</v>
      </c>
    </row>
    <row r="43" spans="1:18" s="347" customFormat="1" ht="27" customHeight="1" thickBot="1" x14ac:dyDescent="0.3">
      <c r="A43" s="372" t="s">
        <v>26</v>
      </c>
      <c r="B43" s="348"/>
      <c r="C43" s="373"/>
      <c r="D43" s="374">
        <f>SUM(D41:D42)</f>
        <v>2868600</v>
      </c>
      <c r="E43" s="374">
        <f t="shared" ref="E43:R43" si="3">SUM(E41:E42)</f>
        <v>2868600</v>
      </c>
      <c r="F43" s="374">
        <f t="shared" si="3"/>
        <v>2868600</v>
      </c>
      <c r="G43" s="374">
        <f t="shared" si="3"/>
        <v>2868600</v>
      </c>
      <c r="H43" s="374">
        <f t="shared" si="3"/>
        <v>2868600</v>
      </c>
      <c r="I43" s="374">
        <f t="shared" si="3"/>
        <v>2868600</v>
      </c>
      <c r="J43" s="374">
        <f t="shared" si="3"/>
        <v>2868600</v>
      </c>
      <c r="K43" s="374">
        <f t="shared" si="3"/>
        <v>2868600</v>
      </c>
      <c r="L43" s="374">
        <f t="shared" si="3"/>
        <v>2868600</v>
      </c>
      <c r="M43" s="374">
        <f t="shared" si="3"/>
        <v>2868600</v>
      </c>
      <c r="N43" s="374">
        <f t="shared" si="3"/>
        <v>2868600</v>
      </c>
      <c r="O43" s="374">
        <f t="shared" si="3"/>
        <v>2868600</v>
      </c>
      <c r="P43" s="374">
        <f t="shared" si="3"/>
        <v>2868600</v>
      </c>
      <c r="Q43" s="374">
        <f t="shared" si="3"/>
        <v>2868600</v>
      </c>
      <c r="R43" s="374">
        <f t="shared" si="3"/>
        <v>2868600</v>
      </c>
    </row>
    <row r="44" spans="1:18" s="350" customFormat="1" ht="20.100000000000001" customHeight="1" x14ac:dyDescent="0.25">
      <c r="A44" s="347" t="s">
        <v>731</v>
      </c>
      <c r="B44" s="380"/>
      <c r="C44" s="353"/>
      <c r="D44" s="381"/>
      <c r="E44" s="381"/>
      <c r="F44" s="381"/>
      <c r="G44" s="381"/>
      <c r="H44" s="381"/>
      <c r="I44" s="381"/>
      <c r="J44" s="381"/>
      <c r="K44" s="381"/>
      <c r="L44" s="381"/>
      <c r="M44" s="381"/>
      <c r="N44" s="381"/>
      <c r="O44" s="381"/>
      <c r="P44" s="381"/>
      <c r="Q44" s="381"/>
      <c r="R44" s="381"/>
    </row>
    <row r="45" spans="1:18" s="365" customFormat="1" ht="27" customHeight="1" x14ac:dyDescent="0.25">
      <c r="A45" s="376" t="s">
        <v>75</v>
      </c>
      <c r="B45" s="377"/>
      <c r="C45" s="378"/>
      <c r="D45" s="362">
        <f>Übersicht!$C$43*'Kosten Kundencenter'!$G$49</f>
        <v>19057067.282837838</v>
      </c>
      <c r="E45" s="362">
        <f>Übersicht!$C$43*'Kosten Kundencenter'!$G$49</f>
        <v>19057067.282837838</v>
      </c>
      <c r="F45" s="362">
        <f>Übersicht!$C$43*'Kosten Kundencenter'!$G$49</f>
        <v>19057067.282837838</v>
      </c>
      <c r="G45" s="362">
        <f>Übersicht!$C$43*'Kosten Kundencenter'!$G$49</f>
        <v>19057067.282837838</v>
      </c>
      <c r="H45" s="362">
        <f>Übersicht!$C$43*'Kosten Kundencenter'!$G$49</f>
        <v>19057067.282837838</v>
      </c>
      <c r="I45" s="362">
        <f>Übersicht!$C$43*'Kosten Kundencenter'!$G$49</f>
        <v>19057067.282837838</v>
      </c>
      <c r="J45" s="362">
        <f>Übersicht!$C$43*'Kosten Kundencenter'!$G$49</f>
        <v>19057067.282837838</v>
      </c>
      <c r="K45" s="362">
        <f>Übersicht!$C$43*'Kosten Kundencenter'!$G$49</f>
        <v>19057067.282837838</v>
      </c>
      <c r="L45" s="362">
        <f>Übersicht!$C$43*'Kosten Kundencenter'!$G$49</f>
        <v>19057067.282837838</v>
      </c>
      <c r="M45" s="362">
        <f>Übersicht!$C$43*'Kosten Kundencenter'!$G$49</f>
        <v>19057067.282837838</v>
      </c>
      <c r="N45" s="362">
        <f>Übersicht!$C$43*'Kosten Kundencenter'!$G$49</f>
        <v>19057067.282837838</v>
      </c>
      <c r="O45" s="362">
        <f>Übersicht!$C$43*'Kosten Kundencenter'!$G$49</f>
        <v>19057067.282837838</v>
      </c>
      <c r="P45" s="362">
        <f>Übersicht!$C$43*'Kosten Kundencenter'!$G$49</f>
        <v>19057067.282837838</v>
      </c>
      <c r="Q45" s="362">
        <f>Übersicht!$C$43*'Kosten Kundencenter'!$G$49</f>
        <v>19057067.282837838</v>
      </c>
      <c r="R45" s="362">
        <f>Übersicht!$C$43*'Kosten Kundencenter'!$G$49</f>
        <v>19057067.282837838</v>
      </c>
    </row>
    <row r="46" spans="1:18" s="365" customFormat="1" ht="27" customHeight="1" thickBot="1" x14ac:dyDescent="0.3">
      <c r="A46" s="376" t="s">
        <v>730</v>
      </c>
      <c r="B46" s="377"/>
      <c r="C46" s="378"/>
      <c r="D46" s="362">
        <f>'Kosten Kundencenter'!$J36</f>
        <v>4041450</v>
      </c>
      <c r="E46" s="362">
        <f>'Kosten Kundencenter'!$J36</f>
        <v>4041450</v>
      </c>
      <c r="F46" s="362">
        <f>'Kosten Kundencenter'!$J36</f>
        <v>4041450</v>
      </c>
      <c r="G46" s="362">
        <f>'Kosten Kundencenter'!$J36</f>
        <v>4041450</v>
      </c>
      <c r="H46" s="362">
        <f>'Kosten Kundencenter'!$J36</f>
        <v>4041450</v>
      </c>
      <c r="I46" s="362">
        <f>'Kosten Kundencenter'!$J36</f>
        <v>4041450</v>
      </c>
      <c r="J46" s="362">
        <f>'Kosten Kundencenter'!$J36</f>
        <v>4041450</v>
      </c>
      <c r="K46" s="362">
        <f>'Kosten Kundencenter'!$J36</f>
        <v>4041450</v>
      </c>
      <c r="L46" s="362">
        <f>'Kosten Kundencenter'!$J36</f>
        <v>4041450</v>
      </c>
      <c r="M46" s="362">
        <f>'Kosten Kundencenter'!$J36</f>
        <v>4041450</v>
      </c>
      <c r="N46" s="362">
        <f>'Kosten Kundencenter'!$J36</f>
        <v>4041450</v>
      </c>
      <c r="O46" s="362">
        <f>'Kosten Kundencenter'!$J36</f>
        <v>4041450</v>
      </c>
      <c r="P46" s="362">
        <f>'Kosten Kundencenter'!$J36</f>
        <v>4041450</v>
      </c>
      <c r="Q46" s="362">
        <f>'Kosten Kundencenter'!$J36</f>
        <v>4041450</v>
      </c>
      <c r="R46" s="362">
        <f>'Kosten Kundencenter'!$J36</f>
        <v>4041450</v>
      </c>
    </row>
    <row r="47" spans="1:18" s="350" customFormat="1" ht="25.15" customHeight="1" thickBot="1" x14ac:dyDescent="0.3">
      <c r="A47" s="382" t="s">
        <v>443</v>
      </c>
      <c r="B47" s="383"/>
      <c r="C47" s="384"/>
      <c r="D47" s="385">
        <f>D39+D43+D45+D46</f>
        <v>59973717.282837838</v>
      </c>
      <c r="E47" s="385">
        <f t="shared" ref="E47:R47" si="4">E39+E43+E45+E46</f>
        <v>59973717.282837838</v>
      </c>
      <c r="F47" s="385">
        <f t="shared" si="4"/>
        <v>59973717.282837838</v>
      </c>
      <c r="G47" s="385">
        <f t="shared" si="4"/>
        <v>59973717.282837838</v>
      </c>
      <c r="H47" s="385">
        <f t="shared" si="4"/>
        <v>59973717.282837838</v>
      </c>
      <c r="I47" s="385">
        <f t="shared" si="4"/>
        <v>59973717.282837838</v>
      </c>
      <c r="J47" s="385">
        <f t="shared" si="4"/>
        <v>59973717.282837838</v>
      </c>
      <c r="K47" s="385">
        <f t="shared" si="4"/>
        <v>59973717.282837838</v>
      </c>
      <c r="L47" s="385">
        <f t="shared" si="4"/>
        <v>59973717.282837838</v>
      </c>
      <c r="M47" s="385">
        <f t="shared" si="4"/>
        <v>59973717.282837838</v>
      </c>
      <c r="N47" s="385">
        <f t="shared" si="4"/>
        <v>59973717.282837838</v>
      </c>
      <c r="O47" s="385">
        <f t="shared" si="4"/>
        <v>59973717.282837838</v>
      </c>
      <c r="P47" s="385">
        <f t="shared" si="4"/>
        <v>59973717.282837838</v>
      </c>
      <c r="Q47" s="385">
        <f t="shared" si="4"/>
        <v>59973717.282837838</v>
      </c>
      <c r="R47" s="385">
        <f t="shared" si="4"/>
        <v>59973717.282837838</v>
      </c>
    </row>
    <row r="48" spans="1:18" s="350" customFormat="1" ht="20.100000000000001" customHeight="1" x14ac:dyDescent="0.25">
      <c r="A48" s="386" t="s">
        <v>732</v>
      </c>
      <c r="B48" s="380"/>
      <c r="C48" s="353"/>
      <c r="D48" s="381"/>
      <c r="E48" s="381"/>
      <c r="F48" s="381"/>
      <c r="G48" s="381"/>
      <c r="H48" s="381"/>
      <c r="I48" s="381"/>
      <c r="J48" s="381"/>
      <c r="K48" s="381"/>
      <c r="L48" s="381"/>
      <c r="M48" s="381"/>
      <c r="N48" s="381"/>
      <c r="O48" s="381"/>
      <c r="P48" s="381"/>
      <c r="Q48" s="381"/>
      <c r="R48" s="381"/>
    </row>
    <row r="49" spans="1:18" s="365" customFormat="1" ht="27" customHeight="1" x14ac:dyDescent="0.25">
      <c r="A49" s="387" t="s">
        <v>623</v>
      </c>
      <c r="B49" s="377"/>
      <c r="C49" s="388"/>
      <c r="D49" s="389">
        <f>'Finanzierung (2)'!D9+'Finanzierung (2)'!D10+'Finanzierung (2)'!D11-Finanzierung!I57</f>
        <v>10386273.07071</v>
      </c>
      <c r="E49" s="389">
        <f>'Finanzierung (2)'!E9+'Finanzierung (2)'!E10+'Finanzierung (2)'!E11-Finanzierung!J57</f>
        <v>10070557.413522538</v>
      </c>
      <c r="F49" s="389">
        <f>'Finanzierung (2)'!F9+'Finanzierung (2)'!F10+'Finanzierung (2)'!F11-Finanzierung!K57</f>
        <v>9745370.2866194546</v>
      </c>
      <c r="G49" s="389">
        <f>'Finanzierung (2)'!G9+'Finanzierung (2)'!G10+'Finanzierung (2)'!G11-Finanzierung!L57</f>
        <v>9449457.5459092781</v>
      </c>
      <c r="H49" s="389">
        <f>'Finanzierung (2)'!H9+'Finanzierung (2)'!H10+'Finanzierung (2)'!H11-Finanzierung!M57</f>
        <v>9104466.5229777955</v>
      </c>
      <c r="I49" s="389">
        <f>'Finanzierung (2)'!I9+'Finanzierung (2)'!I10+'Finanzierung (2)'!I11-Finanzierung!N57</f>
        <v>8826076.5193583686</v>
      </c>
      <c r="J49" s="389">
        <f>'Finanzierung (2)'!J9+'Finanzierung (2)'!J10+'Finanzierung (2)'!J11-Finanzierung!O57</f>
        <v>8499105.5431303587</v>
      </c>
      <c r="K49" s="389">
        <f>'Finanzierung (2)'!K9+'Finanzierung (2)'!K10+'Finanzierung (2)'!K11-Finanzierung!P57</f>
        <v>8122124.5376155097</v>
      </c>
      <c r="L49" s="389">
        <f>'Finanzierung (2)'!L9+'Finanzierung (2)'!L10+'Finanzierung (2)'!L11-Finanzierung!Q57</f>
        <v>7733834.1019352144</v>
      </c>
      <c r="M49" s="389">
        <f>'Finanzierung (2)'!M9+'Finanzierung (2)'!M10+'Finanzierung (2)'!M11-Finanzierung!R57</f>
        <v>9683383.9531845096</v>
      </c>
      <c r="N49" s="389">
        <f>'Finanzierung (2)'!N9+'Finanzierung (2)'!N10+'Finanzierung (2)'!N11-Finanzierung!S57</f>
        <v>9348397.3799712844</v>
      </c>
      <c r="O49" s="389">
        <f>'Finanzierung (2)'!O9+'Finanzierung (2)'!O10+'Finanzierung (2)'!O11-Finanzierung!T57</f>
        <v>8924101.9370616637</v>
      </c>
      <c r="P49" s="389">
        <f>'Finanzierung (2)'!P9+'Finanzierung (2)'!P10+'Finanzierung (2)'!P11-Finanzierung!U57</f>
        <v>8526107.6308647525</v>
      </c>
      <c r="Q49" s="389">
        <f>'Finanzierung (2)'!Q9+'Finanzierung (2)'!Q10+'Finanzierung (2)'!Q11-Finanzierung!V57</f>
        <v>8075972.595481934</v>
      </c>
      <c r="R49" s="389">
        <f>'Finanzierung (2)'!R9+'Finanzierung (2)'!R10+'Finanzierung (2)'!R11-Finanzierung!W57</f>
        <v>7612333.5090376316</v>
      </c>
    </row>
    <row r="50" spans="1:18" s="350" customFormat="1" ht="20.100000000000001" customHeight="1" thickBot="1" x14ac:dyDescent="0.3">
      <c r="B50" s="380"/>
      <c r="C50" s="353"/>
      <c r="D50" s="381"/>
      <c r="E50" s="381"/>
      <c r="F50" s="381"/>
      <c r="G50" s="381"/>
      <c r="H50" s="381"/>
      <c r="I50" s="381"/>
      <c r="J50" s="381"/>
      <c r="K50" s="381"/>
      <c r="L50" s="381"/>
      <c r="M50" s="381"/>
      <c r="N50" s="381"/>
      <c r="O50" s="381"/>
      <c r="P50" s="381"/>
      <c r="Q50" s="381"/>
      <c r="R50" s="381"/>
    </row>
    <row r="51" spans="1:18" s="347" customFormat="1" ht="27" customHeight="1" thickBot="1" x14ac:dyDescent="0.3">
      <c r="A51" s="390" t="s">
        <v>62</v>
      </c>
      <c r="B51" s="348"/>
      <c r="C51" s="373"/>
      <c r="D51" s="391">
        <f>D21+D39+D43+D45+D46+D49</f>
        <v>84266173.131325617</v>
      </c>
      <c r="E51" s="391">
        <f t="shared" ref="E51:R51" si="5">E21+E39+E43+E45+E46+E49</f>
        <v>83950457.474138156</v>
      </c>
      <c r="F51" s="391">
        <f t="shared" si="5"/>
        <v>83625270.347235069</v>
      </c>
      <c r="G51" s="391">
        <f t="shared" si="5"/>
        <v>83329357.606524885</v>
      </c>
      <c r="H51" s="391">
        <f t="shared" si="5"/>
        <v>82984366.583593413</v>
      </c>
      <c r="I51" s="391">
        <f t="shared" si="5"/>
        <v>82705976.579973981</v>
      </c>
      <c r="J51" s="391">
        <f t="shared" si="5"/>
        <v>82379005.603745967</v>
      </c>
      <c r="K51" s="391">
        <f t="shared" si="5"/>
        <v>82002024.598231122</v>
      </c>
      <c r="L51" s="391">
        <f t="shared" si="5"/>
        <v>81613734.162550822</v>
      </c>
      <c r="M51" s="391">
        <f t="shared" si="5"/>
        <v>83563284.013800129</v>
      </c>
      <c r="N51" s="391">
        <f t="shared" si="5"/>
        <v>83228297.440586895</v>
      </c>
      <c r="O51" s="391">
        <f t="shared" si="5"/>
        <v>82804001.997677281</v>
      </c>
      <c r="P51" s="391">
        <f t="shared" si="5"/>
        <v>82406007.691480368</v>
      </c>
      <c r="Q51" s="391">
        <f t="shared" si="5"/>
        <v>81955872.656097546</v>
      </c>
      <c r="R51" s="391">
        <f t="shared" si="5"/>
        <v>81492233.569653243</v>
      </c>
    </row>
    <row r="52" spans="1:18" s="350" customFormat="1" ht="20.100000000000001" customHeight="1" x14ac:dyDescent="0.25">
      <c r="B52" s="380"/>
      <c r="C52" s="353"/>
      <c r="D52" s="381"/>
      <c r="E52" s="381"/>
      <c r="F52" s="381"/>
      <c r="G52" s="381"/>
      <c r="H52" s="381"/>
      <c r="I52" s="381"/>
      <c r="J52" s="381"/>
      <c r="K52" s="381"/>
      <c r="L52" s="381"/>
      <c r="M52" s="381"/>
      <c r="N52" s="381"/>
      <c r="O52" s="381"/>
      <c r="P52" s="381"/>
      <c r="Q52" s="381"/>
      <c r="R52" s="381"/>
    </row>
    <row r="53" spans="1:18" s="350" customFormat="1" ht="20.100000000000001" customHeight="1" x14ac:dyDescent="0.25">
      <c r="B53" s="380"/>
      <c r="C53" s="353"/>
      <c r="D53" s="381"/>
      <c r="E53" s="381"/>
      <c r="F53" s="381"/>
      <c r="G53" s="381"/>
      <c r="H53" s="381"/>
      <c r="I53" s="381"/>
      <c r="J53" s="381"/>
      <c r="K53" s="381"/>
      <c r="L53" s="381"/>
      <c r="M53" s="381"/>
      <c r="N53" s="381"/>
      <c r="O53" s="381"/>
      <c r="P53" s="381"/>
      <c r="Q53" s="381"/>
      <c r="R53" s="381"/>
    </row>
    <row r="54" spans="1:18" s="395" customFormat="1" ht="27" customHeight="1" x14ac:dyDescent="0.25">
      <c r="A54" s="392" t="s">
        <v>733</v>
      </c>
      <c r="B54" s="393"/>
      <c r="C54" s="394"/>
    </row>
    <row r="55" spans="1:18" s="396" customFormat="1" ht="27" customHeight="1" x14ac:dyDescent="0.25">
      <c r="A55" s="376" t="s">
        <v>408</v>
      </c>
      <c r="B55" s="377">
        <v>5</v>
      </c>
      <c r="C55" s="378"/>
      <c r="D55" s="362">
        <f>'Kosten für Chipkarten'!$E$11*Übersicht!$C59-Übersicht!$C59*Übersicht!$C64</f>
        <v>4512000</v>
      </c>
      <c r="E55" s="362">
        <f>'Kosten für Chipkarten'!$E$11*Übersicht!$C59*Eingabeparameter!$C41-Übersicht!$C59*Eingabeparameter!$C41*Übersicht!$C64</f>
        <v>1804800</v>
      </c>
      <c r="F55" s="362">
        <f>'Kosten für Chipkarten'!$E$11*Übersicht!$C59*Eingabeparameter!$C41-Übersicht!$C59*Eingabeparameter!$C41*Übersicht!$C64</f>
        <v>1804800</v>
      </c>
      <c r="G55" s="362">
        <f>'Kosten für Chipkarten'!$E$11*Übersicht!$C59*Eingabeparameter!$C41-Übersicht!$C59*Eingabeparameter!$C41*Übersicht!$C64</f>
        <v>1804800</v>
      </c>
      <c r="H55" s="362">
        <f>'Kosten für Chipkarten'!$E$11*Übersicht!$C59*Eingabeparameter!$C41-Übersicht!$C59*Eingabeparameter!$C41*Übersicht!$C64</f>
        <v>1804800</v>
      </c>
      <c r="I55" s="362">
        <f>'Kosten für Chipkarten'!$E$11*Übersicht!$C59*Eingabeparameter!$C41-Übersicht!$C59*Eingabeparameter!$C41*Übersicht!$C64</f>
        <v>1804800</v>
      </c>
      <c r="J55" s="362">
        <f>'Kosten für Chipkarten'!$E$11*Übersicht!$C59*Eingabeparameter!$C41-Übersicht!$C59*Eingabeparameter!$C41*Übersicht!$C64</f>
        <v>1804800</v>
      </c>
      <c r="K55" s="362">
        <f>'Kosten für Chipkarten'!$E$11*Übersicht!$C59*Eingabeparameter!$C41-Übersicht!$C59*Eingabeparameter!$C41*Übersicht!$C64</f>
        <v>1804800</v>
      </c>
      <c r="L55" s="362">
        <f>'Kosten für Chipkarten'!$E$11*Übersicht!$C59*Eingabeparameter!$C41-Übersicht!$C59*Eingabeparameter!$C41*Übersicht!$C64</f>
        <v>1804800</v>
      </c>
      <c r="M55" s="362">
        <f>'Kosten für Chipkarten'!$E$11*Übersicht!$C59*Eingabeparameter!$C41-Übersicht!$C59*Eingabeparameter!$C41*Übersicht!$C64</f>
        <v>1804800</v>
      </c>
      <c r="N55" s="362">
        <f>'Kosten für Chipkarten'!$E$11*Übersicht!$C59*Eingabeparameter!$C41-Übersicht!$C59*Eingabeparameter!$C41*Übersicht!$C64</f>
        <v>1804800</v>
      </c>
      <c r="O55" s="362">
        <f>'Kosten für Chipkarten'!$E$11*Übersicht!$C59*Eingabeparameter!$C41-Übersicht!$C59*Eingabeparameter!$C41*Übersicht!$C64</f>
        <v>1804800</v>
      </c>
      <c r="P55" s="362">
        <f>'Kosten für Chipkarten'!$E$11*Übersicht!$C59*Eingabeparameter!$C41-Übersicht!$C59*Eingabeparameter!$C41*Übersicht!$C64</f>
        <v>1804800</v>
      </c>
      <c r="Q55" s="362">
        <f>'Kosten für Chipkarten'!$E$11*Übersicht!$C59*Eingabeparameter!$C41-Übersicht!$C59*Eingabeparameter!$C41*Übersicht!$C64</f>
        <v>1804800</v>
      </c>
      <c r="R55" s="362">
        <f>'Kosten für Chipkarten'!$E$11*Übersicht!$C59*Eingabeparameter!$C41-Übersicht!$C59*Eingabeparameter!$C41*Übersicht!$C64</f>
        <v>1804800</v>
      </c>
    </row>
    <row r="56" spans="1:18" s="396" customFormat="1" ht="27" customHeight="1" x14ac:dyDescent="0.25">
      <c r="A56" s="376" t="s">
        <v>409</v>
      </c>
      <c r="B56" s="377">
        <v>5</v>
      </c>
      <c r="C56" s="378"/>
      <c r="D56" s="362">
        <f>'Kosten für Chipkarten'!$E$11*Übersicht!$C60-Übersicht!$C60*Übersicht!$C65</f>
        <v>5640000</v>
      </c>
      <c r="E56" s="362">
        <f>'Kosten für Chipkarten'!$E$11*Übersicht!$C60*Eingabeparameter!$C42-Übersicht!$C60*Eingabeparameter!$C42*Übersicht!$C65</f>
        <v>1128000</v>
      </c>
      <c r="F56" s="362">
        <f>'Kosten für Chipkarten'!$E$11*Übersicht!$C60*Eingabeparameter!$C42-Übersicht!$C60*Eingabeparameter!$C42*Übersicht!$C65</f>
        <v>1128000</v>
      </c>
      <c r="G56" s="362">
        <f>'Kosten für Chipkarten'!$E$11*Übersicht!$C60*Eingabeparameter!$C42-Übersicht!$C60*Eingabeparameter!$C42*Übersicht!$C65</f>
        <v>1128000</v>
      </c>
      <c r="H56" s="362">
        <f>'Kosten für Chipkarten'!$E$11*Übersicht!$C60*Eingabeparameter!$C42-Übersicht!$C60*Eingabeparameter!$C42*Übersicht!$C65</f>
        <v>1128000</v>
      </c>
      <c r="I56" s="362">
        <f>'Kosten für Chipkarten'!$E$11*Übersicht!$C60*Eingabeparameter!$C42-Übersicht!$C60*Eingabeparameter!$C42*Übersicht!$C65</f>
        <v>1128000</v>
      </c>
      <c r="J56" s="362">
        <f>'Kosten für Chipkarten'!$E$11*Übersicht!$C60*Eingabeparameter!$C42-Übersicht!$C60*Eingabeparameter!$C42*Übersicht!$C65</f>
        <v>1128000</v>
      </c>
      <c r="K56" s="362">
        <f>'Kosten für Chipkarten'!$E$11*Übersicht!$C60*Eingabeparameter!$C42-Übersicht!$C60*Eingabeparameter!$C42*Übersicht!$C65</f>
        <v>1128000</v>
      </c>
      <c r="L56" s="362">
        <f>'Kosten für Chipkarten'!$E$11*Übersicht!$C60*Eingabeparameter!$C42-Übersicht!$C60*Eingabeparameter!$C42*Übersicht!$C65</f>
        <v>1128000</v>
      </c>
      <c r="M56" s="362">
        <f>'Kosten für Chipkarten'!$E$11*Übersicht!$C60*Eingabeparameter!$C42-Übersicht!$C60*Eingabeparameter!$C42*Übersicht!$C65</f>
        <v>1128000</v>
      </c>
      <c r="N56" s="362">
        <f>'Kosten für Chipkarten'!$E$11*Übersicht!$C60*Eingabeparameter!$C42-Übersicht!$C60*Eingabeparameter!$C42*Übersicht!$C65</f>
        <v>1128000</v>
      </c>
      <c r="O56" s="362">
        <f>'Kosten für Chipkarten'!$E$11*Übersicht!$C60*Eingabeparameter!$C42-Übersicht!$C60*Eingabeparameter!$C42*Übersicht!$C65</f>
        <v>1128000</v>
      </c>
      <c r="P56" s="362">
        <f>'Kosten für Chipkarten'!$E$11*Übersicht!$C60*Eingabeparameter!$C42-Übersicht!$C60*Eingabeparameter!$C42*Übersicht!$C65</f>
        <v>1128000</v>
      </c>
      <c r="Q56" s="362">
        <f>'Kosten für Chipkarten'!$E$11*Übersicht!$C60*Eingabeparameter!$C42-Übersicht!$C60*Eingabeparameter!$C42*Übersicht!$C65</f>
        <v>1128000</v>
      </c>
      <c r="R56" s="362">
        <f>'Kosten für Chipkarten'!$E$11*Übersicht!$C60*Eingabeparameter!$C42-Übersicht!$C60*Eingabeparameter!$C42*Übersicht!$C65</f>
        <v>1128000</v>
      </c>
    </row>
    <row r="57" spans="1:18" s="396" customFormat="1" ht="27" customHeight="1" thickBot="1" x14ac:dyDescent="0.3">
      <c r="A57" s="376" t="s">
        <v>410</v>
      </c>
      <c r="B57" s="377">
        <v>5</v>
      </c>
      <c r="C57" s="378"/>
      <c r="D57" s="362">
        <f>'Kosten für Chipkarten'!$E$11*Übersicht!$C61-Übersicht!$C61*Übersicht!$C66</f>
        <v>6204000</v>
      </c>
      <c r="E57" s="362">
        <f>'Kosten für Chipkarten'!$E$11*Übersicht!$C61*Eingabeparameter!$C43-Übersicht!$C61*Eingabeparameter!$C43*Übersicht!$C66</f>
        <v>1240800</v>
      </c>
      <c r="F57" s="362">
        <f>'Kosten für Chipkarten'!$E$11*Übersicht!$C61*Eingabeparameter!$C43-Übersicht!$C61*Eingabeparameter!$C43*Übersicht!$C66</f>
        <v>1240800</v>
      </c>
      <c r="G57" s="362">
        <f>'Kosten für Chipkarten'!$E$11*Übersicht!$C61*Eingabeparameter!$C43-Übersicht!$C61*Eingabeparameter!$C43*Übersicht!$C66</f>
        <v>1240800</v>
      </c>
      <c r="H57" s="362">
        <f>'Kosten für Chipkarten'!$E$11*Übersicht!$C61*Eingabeparameter!$C43-Übersicht!$C61*Eingabeparameter!$C43*Übersicht!$C66</f>
        <v>1240800</v>
      </c>
      <c r="I57" s="362">
        <f>'Kosten für Chipkarten'!$E$11*Übersicht!$C61*Eingabeparameter!$C43-Übersicht!$C61*Eingabeparameter!$C43*Übersicht!$C66</f>
        <v>1240800</v>
      </c>
      <c r="J57" s="362">
        <f>'Kosten für Chipkarten'!$E$11*Übersicht!$C61*Eingabeparameter!$C43-Übersicht!$C61*Eingabeparameter!$C43*Übersicht!$C66</f>
        <v>1240800</v>
      </c>
      <c r="K57" s="362">
        <f>'Kosten für Chipkarten'!$E$11*Übersicht!$C61*Eingabeparameter!$C43-Übersicht!$C61*Eingabeparameter!$C43*Übersicht!$C66</f>
        <v>1240800</v>
      </c>
      <c r="L57" s="362">
        <f>'Kosten für Chipkarten'!$E$11*Übersicht!$C61*Eingabeparameter!$C43-Übersicht!$C61*Eingabeparameter!$C43*Übersicht!$C66</f>
        <v>1240800</v>
      </c>
      <c r="M57" s="362">
        <f>'Kosten für Chipkarten'!$E$11*Übersicht!$C61*Eingabeparameter!$C43-Übersicht!$C61*Eingabeparameter!$C43*Übersicht!$C66</f>
        <v>1240800</v>
      </c>
      <c r="N57" s="362">
        <f>'Kosten für Chipkarten'!$E$11*Übersicht!$C61*Eingabeparameter!$C43-Übersicht!$C61*Eingabeparameter!$C43*Übersicht!$C66</f>
        <v>1240800</v>
      </c>
      <c r="O57" s="362">
        <f>'Kosten für Chipkarten'!$E$11*Übersicht!$C61*Eingabeparameter!$C43-Übersicht!$C61*Eingabeparameter!$C43*Übersicht!$C66</f>
        <v>1240800</v>
      </c>
      <c r="P57" s="362">
        <f>'Kosten für Chipkarten'!$E$11*Übersicht!$C61*Eingabeparameter!$C43-Übersicht!$C61*Eingabeparameter!$C43*Übersicht!$C66</f>
        <v>1240800</v>
      </c>
      <c r="Q57" s="362">
        <f>'Kosten für Chipkarten'!$E$11*Übersicht!$C61*Eingabeparameter!$C43-Übersicht!$C61*Eingabeparameter!$C43*Übersicht!$C66</f>
        <v>1240800</v>
      </c>
      <c r="R57" s="362">
        <f>'Kosten für Chipkarten'!$E$11*Übersicht!$C61*Eingabeparameter!$C43-Übersicht!$C61*Eingabeparameter!$C43*Übersicht!$C66</f>
        <v>1240800</v>
      </c>
    </row>
    <row r="58" spans="1:18" s="401" customFormat="1" ht="27" customHeight="1" thickBot="1" x14ac:dyDescent="0.3">
      <c r="A58" s="397" t="s">
        <v>26</v>
      </c>
      <c r="B58" s="398"/>
      <c r="C58" s="399"/>
      <c r="D58" s="400">
        <f>SUM(D55:D57)</f>
        <v>16356000</v>
      </c>
      <c r="E58" s="400">
        <f t="shared" ref="E58:R58" si="6">SUM(E55:E57)</f>
        <v>4173600</v>
      </c>
      <c r="F58" s="400">
        <f t="shared" si="6"/>
        <v>4173600</v>
      </c>
      <c r="G58" s="400">
        <f t="shared" si="6"/>
        <v>4173600</v>
      </c>
      <c r="H58" s="400">
        <f t="shared" si="6"/>
        <v>4173600</v>
      </c>
      <c r="I58" s="400">
        <f t="shared" si="6"/>
        <v>4173600</v>
      </c>
      <c r="J58" s="400">
        <f t="shared" si="6"/>
        <v>4173600</v>
      </c>
      <c r="K58" s="400">
        <f t="shared" si="6"/>
        <v>4173600</v>
      </c>
      <c r="L58" s="400">
        <f t="shared" si="6"/>
        <v>4173600</v>
      </c>
      <c r="M58" s="400">
        <f t="shared" si="6"/>
        <v>4173600</v>
      </c>
      <c r="N58" s="400">
        <f t="shared" si="6"/>
        <v>4173600</v>
      </c>
      <c r="O58" s="400">
        <f t="shared" si="6"/>
        <v>4173600</v>
      </c>
      <c r="P58" s="400">
        <f t="shared" si="6"/>
        <v>4173600</v>
      </c>
      <c r="Q58" s="400">
        <f t="shared" si="6"/>
        <v>4173600</v>
      </c>
      <c r="R58" s="400">
        <f t="shared" si="6"/>
        <v>4173600</v>
      </c>
    </row>
  </sheetData>
  <sheetProtection sheet="1" objects="1" scenarios="1"/>
  <mergeCells count="2">
    <mergeCell ref="B3:B5"/>
    <mergeCell ref="C3:C5"/>
  </mergeCells>
  <printOptions horizontalCentered="1" verticalCentered="1"/>
  <pageMargins left="0.70866141732283472" right="0.70866141732283472" top="0.98425196850393704" bottom="0.78740157480314965" header="0.31496062992125984" footer="0.31496062992125984"/>
  <pageSetup paperSize="8" scale="49"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AA60"/>
  <sheetViews>
    <sheetView topLeftCell="A30" zoomScale="85" zoomScaleNormal="85" workbookViewId="0">
      <selection activeCell="E53" sqref="E53"/>
    </sheetView>
  </sheetViews>
  <sheetFormatPr baseColWidth="10" defaultColWidth="11.42578125" defaultRowHeight="15" x14ac:dyDescent="0.2"/>
  <cols>
    <col min="1" max="1" width="46.140625" style="402" customWidth="1"/>
    <col min="2" max="2" width="3.28515625" style="403" bestFit="1" customWidth="1"/>
    <col min="3" max="3" width="5.7109375" style="404" customWidth="1"/>
    <col min="4" max="4" width="17.28515625" style="404" customWidth="1"/>
    <col min="5" max="13" width="15.7109375" style="402" customWidth="1"/>
    <col min="14" max="14" width="16.42578125" style="402" customWidth="1"/>
    <col min="15" max="19" width="15.7109375" style="402" customWidth="1"/>
    <col min="20" max="16384" width="11.42578125" style="402"/>
  </cols>
  <sheetData>
    <row r="1" spans="1:27" s="350" customFormat="1" ht="20.100000000000001" customHeight="1" x14ac:dyDescent="0.25">
      <c r="A1" s="347" t="s">
        <v>60</v>
      </c>
      <c r="B1" s="348"/>
      <c r="C1" s="349"/>
      <c r="D1" s="349"/>
      <c r="U1" s="351"/>
    </row>
    <row r="2" spans="1:27" s="350" customFormat="1" ht="20.100000000000001" customHeight="1" x14ac:dyDescent="0.25">
      <c r="A2" s="350" t="s">
        <v>53</v>
      </c>
      <c r="B2" s="352"/>
      <c r="C2" s="353"/>
      <c r="D2" s="353"/>
      <c r="U2" s="351"/>
    </row>
    <row r="3" spans="1:27" s="350" customFormat="1" ht="20.100000000000001" customHeight="1" thickBot="1" x14ac:dyDescent="0.3">
      <c r="B3" s="978" t="s">
        <v>122</v>
      </c>
      <c r="C3" s="353"/>
      <c r="D3" s="353"/>
      <c r="U3" s="354"/>
      <c r="V3" s="354"/>
      <c r="W3" s="354"/>
      <c r="X3" s="354"/>
      <c r="Y3" s="354"/>
      <c r="Z3" s="354"/>
      <c r="AA3" s="354"/>
    </row>
    <row r="4" spans="1:27" s="350" customFormat="1" ht="20.100000000000001" customHeight="1" thickBot="1" x14ac:dyDescent="0.3">
      <c r="A4" s="353"/>
      <c r="B4" s="979"/>
      <c r="C4" s="353"/>
      <c r="D4" s="405" t="s">
        <v>395</v>
      </c>
      <c r="E4" s="355">
        <v>1</v>
      </c>
      <c r="F4" s="355">
        <v>2</v>
      </c>
      <c r="G4" s="355">
        <v>3</v>
      </c>
      <c r="H4" s="355">
        <v>4</v>
      </c>
      <c r="I4" s="355">
        <v>5</v>
      </c>
      <c r="J4" s="355">
        <v>6</v>
      </c>
      <c r="K4" s="355">
        <v>7</v>
      </c>
      <c r="L4" s="355">
        <v>8</v>
      </c>
      <c r="M4" s="355">
        <v>9</v>
      </c>
      <c r="N4" s="355">
        <v>10</v>
      </c>
      <c r="O4" s="355">
        <v>11</v>
      </c>
      <c r="P4" s="355">
        <v>12</v>
      </c>
      <c r="Q4" s="355">
        <v>13</v>
      </c>
      <c r="R4" s="355">
        <v>14</v>
      </c>
      <c r="S4" s="355">
        <v>15</v>
      </c>
      <c r="U4" s="354"/>
      <c r="V4" s="354"/>
      <c r="W4" s="354"/>
      <c r="X4" s="354"/>
      <c r="Y4" s="354"/>
      <c r="Z4" s="354"/>
      <c r="AA4" s="354"/>
    </row>
    <row r="5" spans="1:27" s="350" customFormat="1" ht="20.100000000000001" customHeight="1" x14ac:dyDescent="0.25">
      <c r="A5" s="349" t="s">
        <v>130</v>
      </c>
      <c r="B5" s="980"/>
      <c r="C5" s="349"/>
      <c r="D5" s="349"/>
      <c r="U5" s="354"/>
      <c r="V5" s="354"/>
      <c r="W5" s="354"/>
      <c r="X5" s="354"/>
      <c r="Y5" s="354"/>
      <c r="Z5" s="354"/>
      <c r="AA5" s="354"/>
    </row>
    <row r="6" spans="1:27" s="365" customFormat="1" ht="27" customHeight="1" x14ac:dyDescent="0.25">
      <c r="A6" s="359" t="s">
        <v>0</v>
      </c>
      <c r="B6" s="360">
        <f>Eingabeparameter!F4</f>
        <v>18</v>
      </c>
      <c r="C6" s="406"/>
      <c r="D6" s="407">
        <f>'Kosten Systemaufbau'!L8</f>
        <v>1600000</v>
      </c>
      <c r="E6" s="362">
        <v>0</v>
      </c>
      <c r="F6" s="362">
        <f>IF($B6=1,'Kosten Systemaufbau'!$K8,0)</f>
        <v>0</v>
      </c>
      <c r="G6" s="362">
        <f>IF(OR($B6=2,$B6=1),'Kosten Systemaufbau'!$K8,0)</f>
        <v>0</v>
      </c>
      <c r="H6" s="362">
        <f>IF(OR($B6=3,$B6=1),'Kosten Systemaufbau'!$K8,0)</f>
        <v>0</v>
      </c>
      <c r="I6" s="362">
        <f>IF(OR($B6=4,$B6=2,$B6=1),'Kosten Systemaufbau'!$K8,0)</f>
        <v>0</v>
      </c>
      <c r="J6" s="362">
        <f>IF(OR($B6=5,$B6=1),'Kosten Systemaufbau'!$K8,0)</f>
        <v>0</v>
      </c>
      <c r="K6" s="362">
        <f>IF(OR($B6=6,$B6=3,$B6=2,$B6=1),'Kosten Systemaufbau'!$K8,0)</f>
        <v>0</v>
      </c>
      <c r="L6" s="362">
        <f>IF(OR($B6=7,$B6=1),'Kosten Systemaufbau'!$K8,0)</f>
        <v>0</v>
      </c>
      <c r="M6" s="362">
        <f>IF(OR($B6=8,$B6=4,$B6=2,$B6=1),'Kosten Systemaufbau'!$K8,0)</f>
        <v>0</v>
      </c>
      <c r="N6" s="362">
        <f>IF(OR($B6=9,$B6=3,$B6=1),'Kosten Systemaufbau'!$K8,0)</f>
        <v>0</v>
      </c>
      <c r="O6" s="362">
        <f>IF(OR($B6=10,$B6=5,$B6=2,$B6=1),'Kosten Systemaufbau'!$K8,0)</f>
        <v>0</v>
      </c>
      <c r="P6" s="362">
        <f>IF(OR($B6=11,$B6=1),'Kosten Systemaufbau'!$K8,0)</f>
        <v>0</v>
      </c>
      <c r="Q6" s="362">
        <f>IF(OR($B6=12,$B6=6,$B6=4,$B6=3,$B6=2,$B6=1),'Kosten Systemaufbau'!$K8,0)</f>
        <v>0</v>
      </c>
      <c r="R6" s="362">
        <f>IF(OR($B6=13,$B6=1),'Kosten Systemaufbau'!$K8,0)</f>
        <v>0</v>
      </c>
      <c r="S6" s="362">
        <f>IF(OR($B6=14,$B6=7,$B6=2,$B6=1),'Kosten Systemaufbau'!$K8,0)</f>
        <v>0</v>
      </c>
      <c r="U6" s="364"/>
      <c r="V6" s="364"/>
      <c r="W6" s="364"/>
      <c r="X6" s="364"/>
      <c r="Y6" s="364"/>
      <c r="Z6" s="364"/>
      <c r="AA6" s="364"/>
    </row>
    <row r="7" spans="1:27" s="365" customFormat="1" ht="27" customHeight="1" x14ac:dyDescent="0.25">
      <c r="A7" s="359" t="s">
        <v>1</v>
      </c>
      <c r="B7" s="360">
        <f>Eingabeparameter!F5</f>
        <v>9</v>
      </c>
      <c r="C7" s="406"/>
      <c r="D7" s="407">
        <f>'Kosten Systemaufbau'!L9</f>
        <v>15212000</v>
      </c>
      <c r="E7" s="362">
        <v>0</v>
      </c>
      <c r="F7" s="362">
        <f>IF($B7=1,'Kosten Systemaufbau'!$K9,0)</f>
        <v>0</v>
      </c>
      <c r="G7" s="362">
        <f>IF(OR($B7=2,$B7=1),'Kosten Systemaufbau'!$K9,0)</f>
        <v>0</v>
      </c>
      <c r="H7" s="362">
        <f>IF(OR($B7=3,$B7=1),'Kosten Systemaufbau'!$K9,0)</f>
        <v>0</v>
      </c>
      <c r="I7" s="362">
        <f>IF(OR($B7=4,$B7=2,$B7=1),'Kosten Systemaufbau'!$K9,0)</f>
        <v>0</v>
      </c>
      <c r="J7" s="362">
        <f>IF(OR($B7=5,$B7=1),'Kosten Systemaufbau'!$K9,0)</f>
        <v>0</v>
      </c>
      <c r="K7" s="362">
        <f>IF(OR($B7=6,$B7=3,$B7=2,$B7=1),'Kosten Systemaufbau'!$K9,0)</f>
        <v>0</v>
      </c>
      <c r="L7" s="362">
        <f>IF(OR($B7=7,$B7=1),'Kosten Systemaufbau'!$K9,0)</f>
        <v>0</v>
      </c>
      <c r="M7" s="362">
        <f>IF(OR($B7=8,$B7=4,$B7=2,$B7=1),'Kosten Systemaufbau'!$K9,0)</f>
        <v>0</v>
      </c>
      <c r="N7" s="362">
        <f>IF(OR($B7=9,$B7=3,$B7=1),'Kosten Systemaufbau'!$K9,0)</f>
        <v>15212000</v>
      </c>
      <c r="O7" s="362">
        <f>IF(OR($B7=10,$B7=5,$B7=2,$B7=1),'Kosten Systemaufbau'!$K9,0)</f>
        <v>0</v>
      </c>
      <c r="P7" s="362">
        <f>IF(OR($B7=11,$B7=1),'Kosten Systemaufbau'!$K9,0)</f>
        <v>0</v>
      </c>
      <c r="Q7" s="362">
        <f>IF(OR($B7=12,$B7=6,$B7=4,$B7=3,$B7=2,$B7=1),'Kosten Systemaufbau'!$K9,0)</f>
        <v>0</v>
      </c>
      <c r="R7" s="362">
        <f>IF(OR($B7=13,$B7=1),'Kosten Systemaufbau'!$K9,0)</f>
        <v>0</v>
      </c>
      <c r="S7" s="362">
        <f>IF(OR($B7=14,$B7=7,$B7=2,$B7=1),'Kosten Systemaufbau'!$K9,0)</f>
        <v>0</v>
      </c>
      <c r="U7" s="364"/>
      <c r="V7" s="364"/>
      <c r="W7" s="364"/>
      <c r="X7" s="364"/>
      <c r="Y7" s="364"/>
      <c r="Z7" s="364"/>
      <c r="AA7" s="364"/>
    </row>
    <row r="8" spans="1:27" s="365" customFormat="1" ht="27" customHeight="1" x14ac:dyDescent="0.25">
      <c r="A8" s="359" t="s">
        <v>345</v>
      </c>
      <c r="B8" s="360">
        <f>Eingabeparameter!F8</f>
        <v>9</v>
      </c>
      <c r="C8" s="406"/>
      <c r="D8" s="407">
        <f>'Kosten Systemaufbau'!L10</f>
        <v>37963800</v>
      </c>
      <c r="E8" s="362">
        <v>0</v>
      </c>
      <c r="F8" s="362">
        <f>IF($B8=1,'Kosten Systemaufbau'!$K10,0)</f>
        <v>0</v>
      </c>
      <c r="G8" s="362">
        <f>IF(OR($B8=2,$B8=1),'Kosten Systemaufbau'!$K10,0)</f>
        <v>0</v>
      </c>
      <c r="H8" s="362">
        <f>IF(OR($B8=3,$B8=1),'Kosten Systemaufbau'!$K10,0)</f>
        <v>0</v>
      </c>
      <c r="I8" s="362">
        <f>IF(OR($B8=4,$B8=2,$B8=1),'Kosten Systemaufbau'!$K10,0)</f>
        <v>0</v>
      </c>
      <c r="J8" s="362">
        <f>IF(OR($B8=5,$B8=1),'Kosten Systemaufbau'!$K10,0)</f>
        <v>0</v>
      </c>
      <c r="K8" s="362">
        <f>IF(OR($B8=6,$B8=3,$B8=2,$B8=1),'Kosten Systemaufbau'!$K10,0)</f>
        <v>0</v>
      </c>
      <c r="L8" s="362">
        <f>IF(OR($B8=7,$B8=1),'Kosten Systemaufbau'!$K10,0)</f>
        <v>0</v>
      </c>
      <c r="M8" s="362">
        <f>IF(OR($B8=8,$B8=4,$B8=2,$B8=1),'Kosten Systemaufbau'!$K10,0)</f>
        <v>0</v>
      </c>
      <c r="N8" s="362">
        <f>IF(OR($B8=9,$B8=3,$B8=1),'Kosten Systemaufbau'!$K10,0)</f>
        <v>37963800</v>
      </c>
      <c r="O8" s="362">
        <f>IF(OR($B8=10,$B8=5,$B8=2,$B8=1),'Kosten Systemaufbau'!$K10,0)</f>
        <v>0</v>
      </c>
      <c r="P8" s="362">
        <f>IF(OR($B8=11,$B8=1),'Kosten Systemaufbau'!$K10,0)</f>
        <v>0</v>
      </c>
      <c r="Q8" s="362">
        <f>IF(OR($B8=12,$B8=6,$B8=4,$B8=3,$B8=2,$B8=1),'Kosten Systemaufbau'!$K10,0)</f>
        <v>0</v>
      </c>
      <c r="R8" s="362">
        <f>IF(OR($B8=13,$B8=1),'Kosten Systemaufbau'!$K10,0)</f>
        <v>0</v>
      </c>
      <c r="S8" s="362">
        <f>IF(OR($B8=14,$B8=7,$B8=2,$B8=1),'Kosten Systemaufbau'!$K10,0)</f>
        <v>0</v>
      </c>
      <c r="U8" s="364"/>
      <c r="V8" s="364"/>
      <c r="W8" s="364"/>
      <c r="X8" s="364"/>
      <c r="Y8" s="364"/>
      <c r="Z8" s="364"/>
      <c r="AA8" s="364"/>
    </row>
    <row r="9" spans="1:27" s="365" customFormat="1" ht="27" customHeight="1" x14ac:dyDescent="0.25">
      <c r="A9" s="359" t="s">
        <v>346</v>
      </c>
      <c r="B9" s="360">
        <f>Eingabeparameter!F9</f>
        <v>9</v>
      </c>
      <c r="C9" s="406"/>
      <c r="D9" s="407">
        <f>'Kosten Systemaufbau'!L11</f>
        <v>0</v>
      </c>
      <c r="E9" s="362">
        <v>0</v>
      </c>
      <c r="F9" s="362">
        <f>IF($B9=1,'Kosten Systemaufbau'!$K11,0)</f>
        <v>0</v>
      </c>
      <c r="G9" s="362">
        <f>IF(OR($B9=2,$B9=1),'Kosten Systemaufbau'!$K11,0)</f>
        <v>0</v>
      </c>
      <c r="H9" s="362">
        <f>IF(OR($B9=3,$B9=1),'Kosten Systemaufbau'!$K11,0)</f>
        <v>0</v>
      </c>
      <c r="I9" s="362">
        <f>IF(OR($B9=4,$B9=2,$B9=1),'Kosten Systemaufbau'!$K11,0)</f>
        <v>0</v>
      </c>
      <c r="J9" s="362">
        <f>IF(OR($B9=5,$B9=1),'Kosten Systemaufbau'!$K11,0)</f>
        <v>0</v>
      </c>
      <c r="K9" s="362">
        <f>IF(OR($B9=6,$B9=3,$B9=2,$B9=1),'Kosten Systemaufbau'!$K11,0)</f>
        <v>0</v>
      </c>
      <c r="L9" s="362">
        <f>IF(OR($B9=7,$B9=1),'Kosten Systemaufbau'!$K11,0)</f>
        <v>0</v>
      </c>
      <c r="M9" s="362">
        <f>IF(OR($B9=8,$B9=4,$B9=2,$B9=1),'Kosten Systemaufbau'!$K11,0)</f>
        <v>0</v>
      </c>
      <c r="N9" s="362">
        <f>IF(OR($B9=9,$B9=3,$B9=1),'Kosten Systemaufbau'!$K11,0)</f>
        <v>0</v>
      </c>
      <c r="O9" s="362">
        <f>IF(OR($B9=10,$B9=5,$B9=2,$B9=1),'Kosten Systemaufbau'!$K11,0)</f>
        <v>0</v>
      </c>
      <c r="P9" s="362">
        <f>IF(OR($B9=11,$B9=1),'Kosten Systemaufbau'!$K11,0)</f>
        <v>0</v>
      </c>
      <c r="Q9" s="362">
        <f>IF(OR($B9=12,$B9=6,$B9=4,$B9=3,$B9=2,$B9=1),'Kosten Systemaufbau'!$K11,0)</f>
        <v>0</v>
      </c>
      <c r="R9" s="362">
        <f>IF(OR($B9=13,$B9=1),'Kosten Systemaufbau'!$K11,0)</f>
        <v>0</v>
      </c>
      <c r="S9" s="362">
        <f>IF(OR($B9=14,$B9=7,$B9=2,$B9=1),'Kosten Systemaufbau'!$K11,0)</f>
        <v>0</v>
      </c>
      <c r="U9" s="364"/>
      <c r="V9" s="364"/>
      <c r="W9" s="364"/>
      <c r="X9" s="364"/>
      <c r="Y9" s="364"/>
      <c r="Z9" s="364"/>
      <c r="AA9" s="364"/>
    </row>
    <row r="10" spans="1:27" s="365" customFormat="1" ht="27" customHeight="1" x14ac:dyDescent="0.25">
      <c r="A10" s="359" t="s">
        <v>2</v>
      </c>
      <c r="B10" s="360">
        <f>Eingabeparameter!F11</f>
        <v>5</v>
      </c>
      <c r="C10" s="406"/>
      <c r="D10" s="407">
        <f>'Kosten Systemaufbau'!L12</f>
        <v>1569000</v>
      </c>
      <c r="E10" s="362">
        <v>0</v>
      </c>
      <c r="F10" s="362">
        <f>IF($B10=1,'Kosten Systemaufbau'!$K12,0)</f>
        <v>0</v>
      </c>
      <c r="G10" s="362">
        <f>IF(OR($B10=2,$B10=1),'Kosten Systemaufbau'!$K12,0)</f>
        <v>0</v>
      </c>
      <c r="H10" s="362">
        <f>IF(OR($B10=3,$B10=1),'Kosten Systemaufbau'!$K12,0)</f>
        <v>0</v>
      </c>
      <c r="I10" s="362">
        <f>IF(OR($B10=4,$B10=2,$B10=1),'Kosten Systemaufbau'!$K12,0)</f>
        <v>0</v>
      </c>
      <c r="J10" s="362">
        <f>IF(OR($B10=5,$B10=1),'Kosten Systemaufbau'!$K12,0)</f>
        <v>1569000</v>
      </c>
      <c r="K10" s="362">
        <f>IF(OR($B10=6,$B10=3,$B10=2,$B10=1),'Kosten Systemaufbau'!$K12,0)</f>
        <v>0</v>
      </c>
      <c r="L10" s="362">
        <f>IF(OR($B10=7,$B10=1),'Kosten Systemaufbau'!$K12,0)</f>
        <v>0</v>
      </c>
      <c r="M10" s="362">
        <f>IF(OR($B10=8,$B10=4,$B10=2,$B10=1),'Kosten Systemaufbau'!$K12,0)</f>
        <v>0</v>
      </c>
      <c r="N10" s="362">
        <f>IF(OR($B10=9,$B10=3,$B10=1),'Kosten Systemaufbau'!$K12,0)</f>
        <v>0</v>
      </c>
      <c r="O10" s="362">
        <f>IF(OR($B10=10,$B10=5,$B10=2,$B10=1),'Kosten Systemaufbau'!$K12,0)</f>
        <v>1569000</v>
      </c>
      <c r="P10" s="362">
        <f>IF(OR($B10=11,$B10=1),'Kosten Systemaufbau'!$K12,0)</f>
        <v>0</v>
      </c>
      <c r="Q10" s="362">
        <f>IF(OR($B10=12,$B10=6,$B10=4,$B10=3,$B10=2,$B10=1),'Kosten Systemaufbau'!$K12,0)</f>
        <v>0</v>
      </c>
      <c r="R10" s="362">
        <f>IF(OR($B10=13,$B10=1),'Kosten Systemaufbau'!$K12,0)</f>
        <v>0</v>
      </c>
      <c r="S10" s="362">
        <f>IF(OR($B10=14,$B10=7,$B10=2,$B10=1),'Kosten Systemaufbau'!$K12,0)</f>
        <v>0</v>
      </c>
      <c r="U10" s="364"/>
      <c r="V10" s="364"/>
      <c r="W10" s="364"/>
      <c r="X10" s="364"/>
      <c r="Y10" s="364"/>
      <c r="Z10" s="364"/>
      <c r="AA10" s="364"/>
    </row>
    <row r="11" spans="1:27" s="365" customFormat="1" ht="27" customHeight="1" x14ac:dyDescent="0.25">
      <c r="A11" s="359" t="s">
        <v>355</v>
      </c>
      <c r="B11" s="360">
        <f>Eingabeparameter!F12</f>
        <v>3</v>
      </c>
      <c r="C11" s="406"/>
      <c r="D11" s="407">
        <f>'Kosten Systemaufbau'!L13</f>
        <v>0</v>
      </c>
      <c r="E11" s="362">
        <v>0</v>
      </c>
      <c r="F11" s="362">
        <f>IF($B11=1,'Kosten Systemaufbau'!$K13,0)</f>
        <v>0</v>
      </c>
      <c r="G11" s="362">
        <f>IF(OR($B11=2,$B11=1),'Kosten Systemaufbau'!$K13,0)</f>
        <v>0</v>
      </c>
      <c r="H11" s="362">
        <f>IF(OR($B11=3,$B11=1),'Kosten Systemaufbau'!$K13,0)</f>
        <v>0</v>
      </c>
      <c r="I11" s="362">
        <f>IF(OR($B11=4,$B11=2,$B11=1),'Kosten Systemaufbau'!$K13,0)</f>
        <v>0</v>
      </c>
      <c r="J11" s="362">
        <f>IF(OR($B11=5,$B11=1),'Kosten Systemaufbau'!$K13,0)</f>
        <v>0</v>
      </c>
      <c r="K11" s="362">
        <f>IF(OR($B11=6,$B11=3,$B11=2,$B11=1),'Kosten Systemaufbau'!$K13,0)</f>
        <v>0</v>
      </c>
      <c r="L11" s="362">
        <f>IF(OR($B11=7,$B11=1),'Kosten Systemaufbau'!$K13,0)</f>
        <v>0</v>
      </c>
      <c r="M11" s="362">
        <f>IF(OR($B11=8,$B11=4,$B11=2,$B11=1),'Kosten Systemaufbau'!$K13,0)</f>
        <v>0</v>
      </c>
      <c r="N11" s="362">
        <f>IF(OR($B11=9,$B11=3,$B11=1),'Kosten Systemaufbau'!$K13,0)</f>
        <v>0</v>
      </c>
      <c r="O11" s="362">
        <f>IF(OR($B11=10,$B11=5,$B11=2,$B11=1),'Kosten Systemaufbau'!$K13,0)</f>
        <v>0</v>
      </c>
      <c r="P11" s="362">
        <f>IF(OR($B11=11,$B11=1),'Kosten Systemaufbau'!$K13,0)</f>
        <v>0</v>
      </c>
      <c r="Q11" s="362">
        <f>IF(OR($B11=12,$B11=6,$B11=4,$B11=3,$B11=2,$B11=1),'Kosten Systemaufbau'!$K13,0)</f>
        <v>0</v>
      </c>
      <c r="R11" s="362">
        <f>IF(OR($B11=13,$B11=1),'Kosten Systemaufbau'!$K13,0)</f>
        <v>0</v>
      </c>
      <c r="S11" s="362">
        <f>IF(OR($B11=14,$B11=7,$B11=2,$B11=1),'Kosten Systemaufbau'!$K13,0)</f>
        <v>0</v>
      </c>
      <c r="U11" s="364"/>
      <c r="V11" s="364"/>
      <c r="W11" s="364"/>
      <c r="X11" s="364"/>
      <c r="Y11" s="364"/>
      <c r="Z11" s="364"/>
      <c r="AA11" s="364"/>
    </row>
    <row r="12" spans="1:27" s="365" customFormat="1" ht="27" customHeight="1" x14ac:dyDescent="0.25">
      <c r="A12" s="359" t="s">
        <v>3</v>
      </c>
      <c r="B12" s="360">
        <f>Eingabeparameter!F14</f>
        <v>15</v>
      </c>
      <c r="C12" s="406"/>
      <c r="D12" s="407">
        <f>'Kosten Systemaufbau'!L14</f>
        <v>42225500</v>
      </c>
      <c r="E12" s="362">
        <v>0</v>
      </c>
      <c r="F12" s="362">
        <f>IF($B12=1,'Kosten Systemaufbau'!$K14,0)</f>
        <v>0</v>
      </c>
      <c r="G12" s="362">
        <f>IF(OR($B12=2,$B12=1),'Kosten Systemaufbau'!$K14,0)</f>
        <v>0</v>
      </c>
      <c r="H12" s="362">
        <f>IF(OR($B12=3,$B12=1),'Kosten Systemaufbau'!$K14,0)</f>
        <v>0</v>
      </c>
      <c r="I12" s="362">
        <f>IF(OR($B12=4,$B12=2,$B12=1),'Kosten Systemaufbau'!$K14,0)</f>
        <v>0</v>
      </c>
      <c r="J12" s="362">
        <f>IF(OR($B12=5,$B12=1),'Kosten Systemaufbau'!$K14,0)</f>
        <v>0</v>
      </c>
      <c r="K12" s="362">
        <f>IF(OR($B12=6,$B12=3,$B12=2,$B12=1),'Kosten Systemaufbau'!$K14,0)</f>
        <v>0</v>
      </c>
      <c r="L12" s="362">
        <f>IF(OR($B12=7,$B12=1),'Kosten Systemaufbau'!$K14,0)</f>
        <v>0</v>
      </c>
      <c r="M12" s="362">
        <f>IF(OR($B12=8,$B12=4,$B12=2,$B12=1),'Kosten Systemaufbau'!$K14,0)</f>
        <v>0</v>
      </c>
      <c r="N12" s="362">
        <f>IF(OR($B12=9,$B12=3,$B12=1),'Kosten Systemaufbau'!$K14,0)</f>
        <v>0</v>
      </c>
      <c r="O12" s="362">
        <f>IF(OR($B12=10,$B12=5,$B12=2,$B12=1),'Kosten Systemaufbau'!$K14,0)</f>
        <v>0</v>
      </c>
      <c r="P12" s="362">
        <f>IF(OR($B12=11,$B12=1),'Kosten Systemaufbau'!$K14,0)</f>
        <v>0</v>
      </c>
      <c r="Q12" s="362">
        <f>IF(OR($B12=12,$B12=6,$B12=4,$B12=3,$B12=2,$B12=1),'Kosten Systemaufbau'!$K14,0)</f>
        <v>0</v>
      </c>
      <c r="R12" s="362">
        <f>IF(OR($B12=13,$B12=1),'Kosten Systemaufbau'!$K14,0)</f>
        <v>0</v>
      </c>
      <c r="S12" s="362">
        <f>IF(OR($B12=14,$B12=7,$B12=2,$B12=1),'Kosten Systemaufbau'!$K14,0)</f>
        <v>0</v>
      </c>
      <c r="U12" s="364"/>
      <c r="V12" s="364"/>
      <c r="W12" s="364"/>
      <c r="X12" s="364"/>
      <c r="Y12" s="364"/>
      <c r="Z12" s="364"/>
      <c r="AA12" s="364"/>
    </row>
    <row r="13" spans="1:27" s="365" customFormat="1" ht="27" customHeight="1" x14ac:dyDescent="0.25">
      <c r="A13" s="366" t="s">
        <v>310</v>
      </c>
      <c r="B13" s="360">
        <f>Eingabeparameter!F16</f>
        <v>15</v>
      </c>
      <c r="C13" s="406"/>
      <c r="D13" s="407">
        <f>'Kosten Systemaufbau'!L15</f>
        <v>6000000</v>
      </c>
      <c r="E13" s="362">
        <v>0</v>
      </c>
      <c r="F13" s="362">
        <f>IF($B13=1,'Kosten Systemaufbau'!$K15,0)</f>
        <v>0</v>
      </c>
      <c r="G13" s="362">
        <f>IF(OR($B13=2,$B13=1),'Kosten Systemaufbau'!$K15,0)</f>
        <v>0</v>
      </c>
      <c r="H13" s="362">
        <f>IF(OR($B13=3,$B13=1),'Kosten Systemaufbau'!$K15,0)</f>
        <v>0</v>
      </c>
      <c r="I13" s="362">
        <f>IF(OR($B13=4,$B13=2,$B13=1),'Kosten Systemaufbau'!$K15,0)</f>
        <v>0</v>
      </c>
      <c r="J13" s="362">
        <f>IF(OR($B13=5,$B13=1),'Kosten Systemaufbau'!$K15,0)</f>
        <v>0</v>
      </c>
      <c r="K13" s="362">
        <f>IF(OR($B13=6,$B13=3,$B13=2,$B13=1),'Kosten Systemaufbau'!$K15,0)</f>
        <v>0</v>
      </c>
      <c r="L13" s="362">
        <f>IF(OR($B13=7,$B13=1),'Kosten Systemaufbau'!$K15,0)</f>
        <v>0</v>
      </c>
      <c r="M13" s="362">
        <f>IF(OR($B13=8,$B13=4,$B13=2,$B13=1),'Kosten Systemaufbau'!$K15,0)</f>
        <v>0</v>
      </c>
      <c r="N13" s="362">
        <f>IF(OR($B13=9,$B13=3,$B13=1),'Kosten Systemaufbau'!$K15,0)</f>
        <v>0</v>
      </c>
      <c r="O13" s="362">
        <f>IF(OR($B13=10,$B13=5,$B13=2,$B13=1),'Kosten Systemaufbau'!$K15,0)</f>
        <v>0</v>
      </c>
      <c r="P13" s="362">
        <f>IF(OR($B13=11,$B13=1),'Kosten Systemaufbau'!$K15,0)</f>
        <v>0</v>
      </c>
      <c r="Q13" s="362">
        <f>IF(OR($B13=12,$B13=6,$B13=4,$B13=3,$B13=2,$B13=1),'Kosten Systemaufbau'!$K15,0)</f>
        <v>0</v>
      </c>
      <c r="R13" s="362">
        <f>IF(OR($B13=13,$B13=1),'Kosten Systemaufbau'!$K15,0)</f>
        <v>0</v>
      </c>
      <c r="S13" s="362">
        <f>IF(OR($B13=14,$B13=7,$B13=2,$B13=1),'Kosten Systemaufbau'!$K15,0)</f>
        <v>0</v>
      </c>
      <c r="U13" s="364"/>
      <c r="V13" s="364"/>
      <c r="W13" s="364"/>
      <c r="X13" s="364"/>
      <c r="Y13" s="364"/>
      <c r="Z13" s="364"/>
      <c r="AA13" s="364"/>
    </row>
    <row r="14" spans="1:27" s="365" customFormat="1" ht="27" customHeight="1" x14ac:dyDescent="0.25">
      <c r="A14" s="367" t="s">
        <v>312</v>
      </c>
      <c r="B14" s="360">
        <f>Eingabeparameter!F18</f>
        <v>9</v>
      </c>
      <c r="C14" s="406"/>
      <c r="D14" s="407">
        <f>'Kosten Systemaufbau'!L16</f>
        <v>6870000</v>
      </c>
      <c r="E14" s="362">
        <v>0</v>
      </c>
      <c r="F14" s="362">
        <f>IF($B14=1,'Kosten Systemaufbau'!$K16,0)</f>
        <v>0</v>
      </c>
      <c r="G14" s="362">
        <f>IF(OR($B14=2,$B14=1),'Kosten Systemaufbau'!$K16,0)</f>
        <v>0</v>
      </c>
      <c r="H14" s="362">
        <f>IF(OR($B14=3,$B14=1),'Kosten Systemaufbau'!$K16,0)</f>
        <v>0</v>
      </c>
      <c r="I14" s="362">
        <f>IF(OR($B14=4,$B14=2,$B14=1),'Kosten Systemaufbau'!$K16,0)</f>
        <v>0</v>
      </c>
      <c r="J14" s="362">
        <f>IF(OR($B14=5,$B14=1),'Kosten Systemaufbau'!$K16,0)</f>
        <v>0</v>
      </c>
      <c r="K14" s="362">
        <f>IF(OR($B14=6,$B14=3,$B14=2,$B14=1),'Kosten Systemaufbau'!$K16,0)</f>
        <v>0</v>
      </c>
      <c r="L14" s="362">
        <f>IF(OR($B14=7,$B14=1),'Kosten Systemaufbau'!$K16,0)</f>
        <v>0</v>
      </c>
      <c r="M14" s="362">
        <f>IF(OR($B14=8,$B14=4,$B14=2,$B14=1),'Kosten Systemaufbau'!$K16,0)</f>
        <v>0</v>
      </c>
      <c r="N14" s="362">
        <f>IF(OR($B14=9,$B14=3,$B14=1),'Kosten Systemaufbau'!$K16,0)</f>
        <v>6870000</v>
      </c>
      <c r="O14" s="362">
        <f>IF(OR($B14=10,$B14=5,$B14=2,$B14=1),'Kosten Systemaufbau'!$K16,0)</f>
        <v>0</v>
      </c>
      <c r="P14" s="362">
        <f>IF(OR($B14=11,$B14=1),'Kosten Systemaufbau'!$K16,0)</f>
        <v>0</v>
      </c>
      <c r="Q14" s="362">
        <f>IF(OR($B14=12,$B14=6,$B14=4,$B14=3,$B14=2,$B14=1),'Kosten Systemaufbau'!$K16,0)</f>
        <v>0</v>
      </c>
      <c r="R14" s="362">
        <f>IF(OR($B14=13,$B14=1),'Kosten Systemaufbau'!$K16,0)</f>
        <v>0</v>
      </c>
      <c r="S14" s="362">
        <f>IF(OR($B14=14,$B14=7,$B14=2,$B14=1),'Kosten Systemaufbau'!$K16,0)</f>
        <v>0</v>
      </c>
      <c r="U14" s="364"/>
      <c r="V14" s="364"/>
      <c r="W14" s="364"/>
      <c r="X14" s="364"/>
      <c r="Y14" s="364"/>
      <c r="Z14" s="364"/>
      <c r="AA14" s="364"/>
    </row>
    <row r="15" spans="1:27" s="365" customFormat="1" ht="27" customHeight="1" x14ac:dyDescent="0.25">
      <c r="A15" s="366" t="s">
        <v>588</v>
      </c>
      <c r="B15" s="360">
        <f>Eingabeparameter!F19</f>
        <v>9</v>
      </c>
      <c r="C15" s="406"/>
      <c r="D15" s="407">
        <f>'Kosten Systemaufbau'!L17</f>
        <v>16969500</v>
      </c>
      <c r="E15" s="362">
        <v>0</v>
      </c>
      <c r="F15" s="362">
        <f>IF($B15=1,'Kosten Systemaufbau'!$K17,0)</f>
        <v>0</v>
      </c>
      <c r="G15" s="362">
        <f>IF(OR($B15=2,$B15=1),'Kosten Systemaufbau'!$K17,0)</f>
        <v>0</v>
      </c>
      <c r="H15" s="362">
        <f>IF(OR($B15=3,$B15=1),'Kosten Systemaufbau'!$K17,0)</f>
        <v>0</v>
      </c>
      <c r="I15" s="362">
        <f>IF(OR($B15=4,$B15=2,$B15=1),'Kosten Systemaufbau'!$K17,0)</f>
        <v>0</v>
      </c>
      <c r="J15" s="362">
        <f>IF(OR($B15=5,$B15=1),'Kosten Systemaufbau'!$K17,0)</f>
        <v>0</v>
      </c>
      <c r="K15" s="362">
        <f>IF(OR($B15=6,$B15=3,$B15=2,$B15=1),'Kosten Systemaufbau'!$K17,0)</f>
        <v>0</v>
      </c>
      <c r="L15" s="362">
        <f>IF(OR($B15=7,$B15=1),'Kosten Systemaufbau'!$K17,0)</f>
        <v>0</v>
      </c>
      <c r="M15" s="362">
        <f>IF(OR($B15=8,$B15=4,$B15=2,$B15=1),'Kosten Systemaufbau'!$K17,0)</f>
        <v>0</v>
      </c>
      <c r="N15" s="362">
        <f>IF(OR($B15=9,$B15=3,$B15=1),'Kosten Systemaufbau'!$K17,0)</f>
        <v>16969500</v>
      </c>
      <c r="O15" s="362">
        <f>IF(OR($B15=10,$B15=5,$B15=2,$B15=1),'Kosten Systemaufbau'!$K17,0)</f>
        <v>0</v>
      </c>
      <c r="P15" s="362">
        <f>IF(OR($B15=11,$B15=1),'Kosten Systemaufbau'!$K17,0)</f>
        <v>0</v>
      </c>
      <c r="Q15" s="362">
        <f>IF(OR($B15=12,$B15=6,$B15=4,$B15=3,$B15=2,$B15=1),'Kosten Systemaufbau'!$K17,0)</f>
        <v>0</v>
      </c>
      <c r="R15" s="362">
        <f>IF(OR($B15=13,$B15=1),'Kosten Systemaufbau'!$K17,0)</f>
        <v>0</v>
      </c>
      <c r="S15" s="362">
        <f>IF(OR($B15=14,$B15=7,$B15=2,$B15=1),'Kosten Systemaufbau'!$K17,0)</f>
        <v>0</v>
      </c>
      <c r="U15" s="364"/>
      <c r="V15" s="364"/>
      <c r="W15" s="364"/>
      <c r="X15" s="364"/>
      <c r="Y15" s="364"/>
      <c r="Z15" s="364"/>
      <c r="AA15" s="364"/>
    </row>
    <row r="16" spans="1:27" s="365" customFormat="1" ht="27" customHeight="1" x14ac:dyDescent="0.25">
      <c r="A16" s="367" t="s">
        <v>4</v>
      </c>
      <c r="B16" s="360">
        <f>Eingabeparameter!F21</f>
        <v>3</v>
      </c>
      <c r="C16" s="406"/>
      <c r="D16" s="407">
        <f>'Kosten Systemaufbau'!L18</f>
        <v>338750</v>
      </c>
      <c r="E16" s="362">
        <v>0</v>
      </c>
      <c r="F16" s="362">
        <f>IF($B16=1,'Kosten Systemaufbau'!$K18,0)</f>
        <v>0</v>
      </c>
      <c r="G16" s="362">
        <f>IF(OR($B16=2,$B16=1),'Kosten Systemaufbau'!$K18,0)</f>
        <v>0</v>
      </c>
      <c r="H16" s="362">
        <f>IF(OR($B16=3,$B16=1),'Kosten Systemaufbau'!$K18,0)</f>
        <v>338750</v>
      </c>
      <c r="I16" s="362">
        <f>IF(OR($B16=4,$B16=2,$B16=1),'Kosten Systemaufbau'!$K18,0)</f>
        <v>0</v>
      </c>
      <c r="J16" s="362">
        <f>IF(OR($B16=5,$B16=1),'Kosten Systemaufbau'!$K18,0)</f>
        <v>0</v>
      </c>
      <c r="K16" s="362">
        <f>IF(OR($B16=6,$B16=3,$B16=2,$B16=1),'Kosten Systemaufbau'!$K18,0)</f>
        <v>338750</v>
      </c>
      <c r="L16" s="362">
        <f>IF(OR($B16=7,$B16=1),'Kosten Systemaufbau'!$K18,0)</f>
        <v>0</v>
      </c>
      <c r="M16" s="362">
        <f>IF(OR($B16=8,$B16=4,$B16=2,$B16=1),'Kosten Systemaufbau'!$K18,0)</f>
        <v>0</v>
      </c>
      <c r="N16" s="362">
        <f>IF(OR($B16=9,$B16=3,$B16=1),'Kosten Systemaufbau'!$K18,0)</f>
        <v>338750</v>
      </c>
      <c r="O16" s="362">
        <f>IF(OR($B16=10,$B16=5,$B16=2,$B16=1),'Kosten Systemaufbau'!$K18,0)</f>
        <v>0</v>
      </c>
      <c r="P16" s="362">
        <f>IF(OR($B16=11,$B16=1),'Kosten Systemaufbau'!$K18,0)</f>
        <v>0</v>
      </c>
      <c r="Q16" s="362">
        <f>IF(OR($B16=12,$B16=6,$B16=4,$B16=3,$B16=2,$B16=1),'Kosten Systemaufbau'!$K18,0)</f>
        <v>338750</v>
      </c>
      <c r="R16" s="362">
        <f>IF(OR($B16=13,$B16=1),'Kosten Systemaufbau'!$K18,0)</f>
        <v>0</v>
      </c>
      <c r="S16" s="362">
        <f>IF(OR($B16=14,$B16=7,$B16=2,$B16=1),'Kosten Systemaufbau'!$K18,0)</f>
        <v>0</v>
      </c>
      <c r="U16" s="364"/>
      <c r="V16" s="364"/>
      <c r="W16" s="364"/>
      <c r="X16" s="364"/>
      <c r="Y16" s="364"/>
      <c r="Z16" s="364"/>
      <c r="AA16" s="364"/>
    </row>
    <row r="17" spans="1:27" s="365" customFormat="1" ht="27" customHeight="1" x14ac:dyDescent="0.25">
      <c r="A17" s="367" t="s">
        <v>365</v>
      </c>
      <c r="B17" s="360">
        <f>Eingabeparameter!F22</f>
        <v>3</v>
      </c>
      <c r="C17" s="406"/>
      <c r="D17" s="407">
        <f>'Kosten Systemaufbau'!L19</f>
        <v>962250</v>
      </c>
      <c r="E17" s="362">
        <v>0</v>
      </c>
      <c r="F17" s="362">
        <f>IF($B17=1,'Kosten Systemaufbau'!$K19,0)</f>
        <v>0</v>
      </c>
      <c r="G17" s="362">
        <f>IF(OR($B17=2,$B17=1),'Kosten Systemaufbau'!$K19,0)</f>
        <v>0</v>
      </c>
      <c r="H17" s="362">
        <f>IF(OR($B17=3,$B17=1),'Kosten Systemaufbau'!$K19,0)</f>
        <v>962250</v>
      </c>
      <c r="I17" s="362">
        <f>IF(OR($B17=4,$B17=2,$B17=1),'Kosten Systemaufbau'!$K19,0)</f>
        <v>0</v>
      </c>
      <c r="J17" s="362">
        <f>IF(OR($B17=5,$B17=1),'Kosten Systemaufbau'!$K19,0)</f>
        <v>0</v>
      </c>
      <c r="K17" s="362">
        <f>IF(OR($B17=6,$B17=3,$B17=2,$B17=1),'Kosten Systemaufbau'!$K19,0)</f>
        <v>962250</v>
      </c>
      <c r="L17" s="362">
        <f>IF(OR($B17=7,$B17=1),'Kosten Systemaufbau'!$K19,0)</f>
        <v>0</v>
      </c>
      <c r="M17" s="362">
        <f>IF(OR($B17=8,$B17=4,$B17=2,$B17=1),'Kosten Systemaufbau'!$K19,0)</f>
        <v>0</v>
      </c>
      <c r="N17" s="362">
        <f>IF(OR($B17=9,$B17=3,$B17=1),'Kosten Systemaufbau'!$K19,0)</f>
        <v>962250</v>
      </c>
      <c r="O17" s="362">
        <f>IF(OR($B17=10,$B17=5,$B17=2,$B17=1),'Kosten Systemaufbau'!$K19,0)</f>
        <v>0</v>
      </c>
      <c r="P17" s="362">
        <f>IF(OR($B17=11,$B17=1),'Kosten Systemaufbau'!$K19,0)</f>
        <v>0</v>
      </c>
      <c r="Q17" s="362">
        <f>IF(OR($B17=12,$B17=6,$B17=4,$B17=3,$B17=2,$B17=1),'Kosten Systemaufbau'!$K19,0)</f>
        <v>962250</v>
      </c>
      <c r="R17" s="362">
        <f>IF(OR($B17=13,$B17=1),'Kosten Systemaufbau'!$K19,0)</f>
        <v>0</v>
      </c>
      <c r="S17" s="362">
        <f>IF(OR($B17=14,$B17=7,$B17=2,$B17=1),'Kosten Systemaufbau'!$K19,0)</f>
        <v>0</v>
      </c>
      <c r="U17" s="364"/>
      <c r="V17" s="364"/>
      <c r="W17" s="364"/>
      <c r="X17" s="364"/>
      <c r="Y17" s="364"/>
      <c r="Z17" s="364"/>
      <c r="AA17" s="364"/>
    </row>
    <row r="18" spans="1:27" s="365" customFormat="1" ht="27" customHeight="1" thickBot="1" x14ac:dyDescent="0.3">
      <c r="A18" s="367" t="s">
        <v>422</v>
      </c>
      <c r="B18" s="360">
        <f>Eingabeparameter!F24</f>
        <v>5</v>
      </c>
      <c r="C18" s="406"/>
      <c r="D18" s="407">
        <f>'Kosten Systemaufbau'!L20</f>
        <v>996025</v>
      </c>
      <c r="E18" s="362">
        <f>'Kosten Systemaufbau'!M20</f>
        <v>6.6191255696682865E-3</v>
      </c>
      <c r="F18" s="362">
        <f>IF($B18=1,'Kosten Systemaufbau'!$K20,0)</f>
        <v>0</v>
      </c>
      <c r="G18" s="362">
        <f>IF(OR($B18=2,$B18=1),'Kosten Systemaufbau'!$K20,0)</f>
        <v>0</v>
      </c>
      <c r="H18" s="362">
        <f>IF(OR($B18=3,$B18=1),'Kosten Systemaufbau'!$K20,0)</f>
        <v>0</v>
      </c>
      <c r="I18" s="362">
        <f>IF(OR($B18=4,$B18=2,$B18=1),'Kosten Systemaufbau'!$K20,0)</f>
        <v>0</v>
      </c>
      <c r="J18" s="362">
        <f>IF(OR($B18=5,$B18=1),'Kosten Systemaufbau'!$K20,0)</f>
        <v>996025</v>
      </c>
      <c r="K18" s="362">
        <f>IF(OR($B18=6,$B18=3,$B18=2,$B18=1),'Kosten Systemaufbau'!$K20,0)</f>
        <v>0</v>
      </c>
      <c r="L18" s="362">
        <f>IF(OR($B18=7,$B18=1),'Kosten Systemaufbau'!$K20,0)</f>
        <v>0</v>
      </c>
      <c r="M18" s="362">
        <f>IF(OR($B18=8,$B18=4,$B18=2,$B18=1),'Kosten Systemaufbau'!$K20,0)</f>
        <v>0</v>
      </c>
      <c r="N18" s="362">
        <f>IF(OR($B18=9,$B18=3,$B18=1),'Kosten Systemaufbau'!$K20,0)</f>
        <v>0</v>
      </c>
      <c r="O18" s="362">
        <f>IF(OR($B18=10,$B18=5,$B18=2,$B18=1),'Kosten Systemaufbau'!$K20,0)</f>
        <v>996025</v>
      </c>
      <c r="P18" s="362">
        <f>IF(OR($B18=11,$B18=1),'Kosten Systemaufbau'!$K20,0)</f>
        <v>0</v>
      </c>
      <c r="Q18" s="362">
        <f>IF(OR($B18=12,$B18=6,$B18=4,$B18=3,$B18=2,$B18=1),'Kosten Systemaufbau'!$K20,0)</f>
        <v>0</v>
      </c>
      <c r="R18" s="362">
        <f>IF(OR($B18=13,$B18=1),'Kosten Systemaufbau'!$K20,0)</f>
        <v>0</v>
      </c>
      <c r="S18" s="362">
        <f>IF(OR($B18=14,$B18=7,$B18=2,$B18=1),'Kosten Systemaufbau'!$K20,0)</f>
        <v>0</v>
      </c>
      <c r="U18" s="364"/>
      <c r="V18" s="364"/>
      <c r="W18" s="364"/>
      <c r="X18" s="364"/>
      <c r="Y18" s="364"/>
      <c r="Z18" s="364"/>
      <c r="AA18" s="364"/>
    </row>
    <row r="19" spans="1:27" s="365" customFormat="1" ht="35.1" customHeight="1" x14ac:dyDescent="0.25">
      <c r="A19" s="408" t="s">
        <v>58</v>
      </c>
      <c r="B19" s="360">
        <f>Eingabeparameter!F4</f>
        <v>18</v>
      </c>
      <c r="C19" s="406"/>
      <c r="D19" s="407">
        <f>'Kosten Systemaufbau'!L21</f>
        <v>9930000</v>
      </c>
      <c r="E19" s="362">
        <v>0</v>
      </c>
      <c r="F19" s="362">
        <f>IF($B19=1,'Kosten Systemaufbau'!$K21,0)</f>
        <v>0</v>
      </c>
      <c r="G19" s="362">
        <f>IF(OR($B19=2,$B19=1),'Kosten Systemaufbau'!$K21,0)</f>
        <v>0</v>
      </c>
      <c r="H19" s="362">
        <f>IF(OR($B19=3,$B19=1),'Kosten Systemaufbau'!$K21,0)</f>
        <v>0</v>
      </c>
      <c r="I19" s="362">
        <f>IF(OR($B19=4,$B19=2,$B19=1),'Kosten Systemaufbau'!$K21,0)</f>
        <v>0</v>
      </c>
      <c r="J19" s="362">
        <f>IF(OR($B19=5,$B19=1),'Kosten Systemaufbau'!$K21,0)</f>
        <v>0</v>
      </c>
      <c r="K19" s="362">
        <f>IF(OR($B19=6,$B19=3,$B19=2,$B19=1),'Kosten Systemaufbau'!$K21,0)</f>
        <v>0</v>
      </c>
      <c r="L19" s="362">
        <f>IF(OR($B19=7,$B19=1),'Kosten Systemaufbau'!$K21,0)</f>
        <v>0</v>
      </c>
      <c r="M19" s="362">
        <f>IF(OR($B19=8,$B19=4,$B19=2,$B19=1),'Kosten Systemaufbau'!$K21,0)</f>
        <v>0</v>
      </c>
      <c r="N19" s="362">
        <f>IF(OR($B19=9,$B19=3,$B19=1),'Kosten Systemaufbau'!$K21,0)</f>
        <v>0</v>
      </c>
      <c r="O19" s="362">
        <f>IF(OR($B19=10,$B19=5,$B19=2,$B19=1),'Kosten Systemaufbau'!$K21,0)</f>
        <v>0</v>
      </c>
      <c r="P19" s="362">
        <f>IF(OR($B19=11,$B19=1),'Kosten Systemaufbau'!$K21,0)</f>
        <v>0</v>
      </c>
      <c r="Q19" s="362">
        <f>IF(OR($B19=12,$B19=6,$B19=4,$B19=3,$B19=2,$B19=1),'Kosten Systemaufbau'!$K21,0)</f>
        <v>0</v>
      </c>
      <c r="R19" s="362">
        <f>IF(OR($B19=13,$B19=1),'Kosten Systemaufbau'!$K21,0)</f>
        <v>0</v>
      </c>
      <c r="S19" s="362">
        <f>IF(OR($B19=14,$B19=7,$B19=2,$B19=1),'Kosten Systemaufbau'!$K21,0)</f>
        <v>0</v>
      </c>
      <c r="U19" s="364"/>
      <c r="V19" s="364"/>
      <c r="W19" s="364"/>
      <c r="X19" s="364"/>
      <c r="Y19" s="364"/>
      <c r="Z19" s="364"/>
      <c r="AA19" s="364"/>
    </row>
    <row r="20" spans="1:27" s="365" customFormat="1" ht="35.1" customHeight="1" thickBot="1" x14ac:dyDescent="0.25">
      <c r="A20" s="409" t="s">
        <v>59</v>
      </c>
      <c r="B20" s="410"/>
      <c r="C20" s="411"/>
      <c r="D20" s="412">
        <f>'Kosten Systemaufbau'!L22</f>
        <v>9840000</v>
      </c>
      <c r="E20" s="389"/>
      <c r="F20" s="389"/>
      <c r="G20" s="389"/>
      <c r="H20" s="362"/>
      <c r="I20" s="362"/>
      <c r="J20" s="362"/>
      <c r="K20" s="362"/>
      <c r="L20" s="362"/>
      <c r="M20" s="362"/>
      <c r="N20" s="362"/>
      <c r="O20" s="362"/>
      <c r="P20" s="362"/>
      <c r="Q20" s="362"/>
      <c r="R20" s="362"/>
      <c r="S20" s="362"/>
      <c r="U20" s="364"/>
      <c r="V20" s="364"/>
      <c r="W20" s="364"/>
      <c r="X20" s="364"/>
      <c r="Y20" s="364"/>
      <c r="Z20" s="364"/>
      <c r="AA20" s="364"/>
    </row>
    <row r="21" spans="1:27" s="347" customFormat="1" ht="27" customHeight="1" thickBot="1" x14ac:dyDescent="0.3">
      <c r="A21" s="372" t="s">
        <v>26</v>
      </c>
      <c r="B21" s="348"/>
      <c r="C21" s="373"/>
      <c r="D21" s="374">
        <f t="shared" ref="D21:S21" si="0">SUM(D6:D20)</f>
        <v>150476825</v>
      </c>
      <c r="E21" s="374">
        <f t="shared" si="0"/>
        <v>6.6191255696682865E-3</v>
      </c>
      <c r="F21" s="374">
        <f t="shared" si="0"/>
        <v>0</v>
      </c>
      <c r="G21" s="374">
        <f t="shared" si="0"/>
        <v>0</v>
      </c>
      <c r="H21" s="374">
        <f t="shared" si="0"/>
        <v>1301000</v>
      </c>
      <c r="I21" s="374">
        <f t="shared" si="0"/>
        <v>0</v>
      </c>
      <c r="J21" s="374">
        <f t="shared" si="0"/>
        <v>2565025</v>
      </c>
      <c r="K21" s="374">
        <f t="shared" si="0"/>
        <v>1301000</v>
      </c>
      <c r="L21" s="374">
        <f t="shared" si="0"/>
        <v>0</v>
      </c>
      <c r="M21" s="374">
        <f t="shared" si="0"/>
        <v>0</v>
      </c>
      <c r="N21" s="374">
        <f t="shared" si="0"/>
        <v>78316300</v>
      </c>
      <c r="O21" s="374">
        <f t="shared" si="0"/>
        <v>2565025</v>
      </c>
      <c r="P21" s="374">
        <f t="shared" si="0"/>
        <v>0</v>
      </c>
      <c r="Q21" s="374">
        <f t="shared" si="0"/>
        <v>1301000</v>
      </c>
      <c r="R21" s="374">
        <f t="shared" si="0"/>
        <v>0</v>
      </c>
      <c r="S21" s="374">
        <f t="shared" si="0"/>
        <v>0</v>
      </c>
    </row>
    <row r="22" spans="1:27" s="350" customFormat="1" ht="27" customHeight="1" x14ac:dyDescent="0.25">
      <c r="A22" s="349" t="s">
        <v>131</v>
      </c>
      <c r="B22" s="348"/>
      <c r="C22" s="349"/>
      <c r="D22" s="349"/>
    </row>
    <row r="23" spans="1:27" s="365" customFormat="1" ht="27" customHeight="1" x14ac:dyDescent="0.25">
      <c r="A23" s="376" t="s">
        <v>47</v>
      </c>
      <c r="B23" s="377"/>
      <c r="C23" s="378"/>
      <c r="D23" s="378"/>
      <c r="E23" s="362">
        <f>'Kosten Systembetrieb'!$K7</f>
        <v>1710000</v>
      </c>
      <c r="F23" s="362">
        <f>'Kosten Systembetrieb'!$K7</f>
        <v>1710000</v>
      </c>
      <c r="G23" s="362">
        <f>'Kosten Systembetrieb'!$K7</f>
        <v>1710000</v>
      </c>
      <c r="H23" s="362">
        <f>'Kosten Systembetrieb'!$K7</f>
        <v>1710000</v>
      </c>
      <c r="I23" s="362">
        <f>'Kosten Systembetrieb'!$K7</f>
        <v>1710000</v>
      </c>
      <c r="J23" s="362">
        <f>'Kosten Systembetrieb'!$K7</f>
        <v>1710000</v>
      </c>
      <c r="K23" s="362">
        <f>'Kosten Systembetrieb'!$K7</f>
        <v>1710000</v>
      </c>
      <c r="L23" s="362">
        <f>'Kosten Systembetrieb'!$K7</f>
        <v>1710000</v>
      </c>
      <c r="M23" s="362">
        <f>'Kosten Systembetrieb'!$K7</f>
        <v>1710000</v>
      </c>
      <c r="N23" s="362">
        <f>'Kosten Systembetrieb'!$K7</f>
        <v>1710000</v>
      </c>
      <c r="O23" s="362">
        <f>'Kosten Systembetrieb'!$K7</f>
        <v>1710000</v>
      </c>
      <c r="P23" s="362">
        <f>'Kosten Systembetrieb'!$K7</f>
        <v>1710000</v>
      </c>
      <c r="Q23" s="362">
        <f>'Kosten Systembetrieb'!$K7</f>
        <v>1710000</v>
      </c>
      <c r="R23" s="362">
        <f>'Kosten Systembetrieb'!$K7</f>
        <v>1710000</v>
      </c>
      <c r="S23" s="362">
        <f>'Kosten Systembetrieb'!$K7</f>
        <v>1710000</v>
      </c>
    </row>
    <row r="24" spans="1:27" s="365" customFormat="1" ht="27" customHeight="1" x14ac:dyDescent="0.25">
      <c r="A24" s="376" t="s">
        <v>54</v>
      </c>
      <c r="B24" s="377"/>
      <c r="C24" s="378"/>
      <c r="D24" s="378"/>
      <c r="E24" s="362">
        <f>'Kosten Systembetrieb'!$K8</f>
        <v>2433920</v>
      </c>
      <c r="F24" s="362">
        <f>'Kosten Systembetrieb'!$K8</f>
        <v>2433920</v>
      </c>
      <c r="G24" s="362">
        <f>'Kosten Systembetrieb'!$K8</f>
        <v>2433920</v>
      </c>
      <c r="H24" s="362">
        <f>'Kosten Systembetrieb'!$K8</f>
        <v>2433920</v>
      </c>
      <c r="I24" s="362">
        <f>'Kosten Systembetrieb'!$K8</f>
        <v>2433920</v>
      </c>
      <c r="J24" s="362">
        <f>'Kosten Systembetrieb'!$K8</f>
        <v>2433920</v>
      </c>
      <c r="K24" s="362">
        <f>'Kosten Systembetrieb'!$K8</f>
        <v>2433920</v>
      </c>
      <c r="L24" s="362">
        <f>'Kosten Systembetrieb'!$K8</f>
        <v>2433920</v>
      </c>
      <c r="M24" s="362">
        <f>'Kosten Systembetrieb'!$K8</f>
        <v>2433920</v>
      </c>
      <c r="N24" s="362">
        <f>'Kosten Systembetrieb'!$K8</f>
        <v>2433920</v>
      </c>
      <c r="O24" s="362">
        <f>'Kosten Systembetrieb'!$K8</f>
        <v>2433920</v>
      </c>
      <c r="P24" s="362">
        <f>'Kosten Systembetrieb'!$K8</f>
        <v>2433920</v>
      </c>
      <c r="Q24" s="362">
        <f>'Kosten Systembetrieb'!$K8</f>
        <v>2433920</v>
      </c>
      <c r="R24" s="362">
        <f>'Kosten Systembetrieb'!$K8</f>
        <v>2433920</v>
      </c>
      <c r="S24" s="362">
        <f>'Kosten Systembetrieb'!$K8</f>
        <v>2433920</v>
      </c>
    </row>
    <row r="25" spans="1:27" s="365" customFormat="1" ht="27" customHeight="1" x14ac:dyDescent="0.25">
      <c r="A25" s="376" t="s">
        <v>356</v>
      </c>
      <c r="B25" s="377"/>
      <c r="C25" s="378"/>
      <c r="D25" s="378"/>
      <c r="E25" s="362">
        <f>'Kosten Systembetrieb'!$K9</f>
        <v>10168875</v>
      </c>
      <c r="F25" s="362">
        <f>'Kosten Systembetrieb'!$K9</f>
        <v>10168875</v>
      </c>
      <c r="G25" s="362">
        <f>'Kosten Systembetrieb'!$K9</f>
        <v>10168875</v>
      </c>
      <c r="H25" s="362">
        <f>'Kosten Systembetrieb'!$K9</f>
        <v>10168875</v>
      </c>
      <c r="I25" s="362">
        <f>'Kosten Systembetrieb'!$K9</f>
        <v>10168875</v>
      </c>
      <c r="J25" s="362">
        <f>'Kosten Systembetrieb'!$K9</f>
        <v>10168875</v>
      </c>
      <c r="K25" s="362">
        <f>'Kosten Systembetrieb'!$K9</f>
        <v>10168875</v>
      </c>
      <c r="L25" s="362">
        <f>'Kosten Systembetrieb'!$K9</f>
        <v>10168875</v>
      </c>
      <c r="M25" s="362">
        <f>'Kosten Systembetrieb'!$K9</f>
        <v>10168875</v>
      </c>
      <c r="N25" s="362">
        <f>'Kosten Systembetrieb'!$K9</f>
        <v>10168875</v>
      </c>
      <c r="O25" s="362">
        <f>'Kosten Systembetrieb'!$K9</f>
        <v>10168875</v>
      </c>
      <c r="P25" s="362">
        <f>'Kosten Systembetrieb'!$K9</f>
        <v>10168875</v>
      </c>
      <c r="Q25" s="362">
        <f>'Kosten Systembetrieb'!$K9</f>
        <v>10168875</v>
      </c>
      <c r="R25" s="362">
        <f>'Kosten Systembetrieb'!$K9</f>
        <v>10168875</v>
      </c>
      <c r="S25" s="362">
        <f>'Kosten Systembetrieb'!$K9</f>
        <v>10168875</v>
      </c>
    </row>
    <row r="26" spans="1:27" s="365" customFormat="1" ht="27" customHeight="1" x14ac:dyDescent="0.25">
      <c r="A26" s="376" t="s">
        <v>354</v>
      </c>
      <c r="B26" s="377"/>
      <c r="C26" s="378"/>
      <c r="D26" s="378"/>
      <c r="E26" s="362">
        <f>'Kosten Systembetrieb'!$K10</f>
        <v>0</v>
      </c>
      <c r="F26" s="362">
        <f>'Kosten Systembetrieb'!$K10</f>
        <v>0</v>
      </c>
      <c r="G26" s="362">
        <f>'Kosten Systembetrieb'!$K10</f>
        <v>0</v>
      </c>
      <c r="H26" s="362">
        <f>'Kosten Systembetrieb'!$K10</f>
        <v>0</v>
      </c>
      <c r="I26" s="362">
        <f>'Kosten Systembetrieb'!$K10</f>
        <v>0</v>
      </c>
      <c r="J26" s="362">
        <f>'Kosten Systembetrieb'!$K10</f>
        <v>0</v>
      </c>
      <c r="K26" s="362">
        <f>'Kosten Systembetrieb'!$K10</f>
        <v>0</v>
      </c>
      <c r="L26" s="362">
        <f>'Kosten Systembetrieb'!$K10</f>
        <v>0</v>
      </c>
      <c r="M26" s="362">
        <f>'Kosten Systembetrieb'!$K10</f>
        <v>0</v>
      </c>
      <c r="N26" s="362">
        <f>'Kosten Systembetrieb'!$K10</f>
        <v>0</v>
      </c>
      <c r="O26" s="362">
        <f>'Kosten Systembetrieb'!$K10</f>
        <v>0</v>
      </c>
      <c r="P26" s="362">
        <f>'Kosten Systembetrieb'!$K10</f>
        <v>0</v>
      </c>
      <c r="Q26" s="362">
        <f>'Kosten Systembetrieb'!$K10</f>
        <v>0</v>
      </c>
      <c r="R26" s="362">
        <f>'Kosten Systembetrieb'!$K10</f>
        <v>0</v>
      </c>
      <c r="S26" s="362">
        <f>'Kosten Systembetrieb'!$K10</f>
        <v>0</v>
      </c>
    </row>
    <row r="27" spans="1:27" s="365" customFormat="1" ht="27" customHeight="1" x14ac:dyDescent="0.25">
      <c r="A27" s="376" t="s">
        <v>45</v>
      </c>
      <c r="B27" s="377"/>
      <c r="C27" s="378"/>
      <c r="D27" s="378"/>
      <c r="E27" s="362">
        <f>'Kosten Systembetrieb'!$K11</f>
        <v>1113990</v>
      </c>
      <c r="F27" s="362">
        <f>'Kosten Systembetrieb'!$K11</f>
        <v>1113990</v>
      </c>
      <c r="G27" s="362">
        <f>'Kosten Systembetrieb'!$K11</f>
        <v>1113990</v>
      </c>
      <c r="H27" s="362">
        <f>'Kosten Systembetrieb'!$K11</f>
        <v>1113990</v>
      </c>
      <c r="I27" s="362">
        <f>'Kosten Systembetrieb'!$K11</f>
        <v>1113990</v>
      </c>
      <c r="J27" s="362">
        <f>'Kosten Systembetrieb'!$K11</f>
        <v>1113990</v>
      </c>
      <c r="K27" s="362">
        <f>'Kosten Systembetrieb'!$K11</f>
        <v>1113990</v>
      </c>
      <c r="L27" s="362">
        <f>'Kosten Systembetrieb'!$K11</f>
        <v>1113990</v>
      </c>
      <c r="M27" s="362">
        <f>'Kosten Systembetrieb'!$K11</f>
        <v>1113990</v>
      </c>
      <c r="N27" s="362">
        <f>'Kosten Systembetrieb'!$K11</f>
        <v>1113990</v>
      </c>
      <c r="O27" s="362">
        <f>'Kosten Systembetrieb'!$K11</f>
        <v>1113990</v>
      </c>
      <c r="P27" s="362">
        <f>'Kosten Systembetrieb'!$K11</f>
        <v>1113990</v>
      </c>
      <c r="Q27" s="362">
        <f>'Kosten Systembetrieb'!$K11</f>
        <v>1113990</v>
      </c>
      <c r="R27" s="362">
        <f>'Kosten Systembetrieb'!$K11</f>
        <v>1113990</v>
      </c>
      <c r="S27" s="362">
        <f>'Kosten Systembetrieb'!$K11</f>
        <v>1113990</v>
      </c>
    </row>
    <row r="28" spans="1:27" s="365" customFormat="1" ht="27" customHeight="1" x14ac:dyDescent="0.25">
      <c r="A28" s="376" t="s">
        <v>320</v>
      </c>
      <c r="B28" s="377"/>
      <c r="C28" s="378"/>
      <c r="D28" s="378"/>
      <c r="E28" s="362">
        <f>'Kosten Systembetrieb'!$K12</f>
        <v>0</v>
      </c>
      <c r="F28" s="362">
        <f>'Kosten Systembetrieb'!$K12</f>
        <v>0</v>
      </c>
      <c r="G28" s="362">
        <f>'Kosten Systembetrieb'!$K12</f>
        <v>0</v>
      </c>
      <c r="H28" s="362">
        <f>'Kosten Systembetrieb'!$K12</f>
        <v>0</v>
      </c>
      <c r="I28" s="362">
        <f>'Kosten Systembetrieb'!$K12</f>
        <v>0</v>
      </c>
      <c r="J28" s="362">
        <f>'Kosten Systembetrieb'!$K12</f>
        <v>0</v>
      </c>
      <c r="K28" s="362">
        <f>'Kosten Systembetrieb'!$K12</f>
        <v>0</v>
      </c>
      <c r="L28" s="362">
        <f>'Kosten Systembetrieb'!$K12</f>
        <v>0</v>
      </c>
      <c r="M28" s="362">
        <f>'Kosten Systembetrieb'!$K12</f>
        <v>0</v>
      </c>
      <c r="N28" s="362">
        <f>'Kosten Systembetrieb'!$K12</f>
        <v>0</v>
      </c>
      <c r="O28" s="362">
        <f>'Kosten Systembetrieb'!$K12</f>
        <v>0</v>
      </c>
      <c r="P28" s="362">
        <f>'Kosten Systembetrieb'!$K12</f>
        <v>0</v>
      </c>
      <c r="Q28" s="362">
        <f>'Kosten Systembetrieb'!$K12</f>
        <v>0</v>
      </c>
      <c r="R28" s="362">
        <f>'Kosten Systembetrieb'!$K12</f>
        <v>0</v>
      </c>
      <c r="S28" s="362">
        <f>'Kosten Systembetrieb'!$K12</f>
        <v>0</v>
      </c>
    </row>
    <row r="29" spans="1:27" s="365" customFormat="1" ht="27" customHeight="1" x14ac:dyDescent="0.25">
      <c r="A29" s="376" t="s">
        <v>317</v>
      </c>
      <c r="B29" s="377"/>
      <c r="C29" s="378"/>
      <c r="D29" s="378"/>
      <c r="E29" s="362">
        <f>'Kosten Systembetrieb'!$K13</f>
        <v>8423720</v>
      </c>
      <c r="F29" s="362">
        <f>'Kosten Systembetrieb'!$K13</f>
        <v>8423720</v>
      </c>
      <c r="G29" s="362">
        <f>'Kosten Systembetrieb'!$K13</f>
        <v>8423720</v>
      </c>
      <c r="H29" s="362">
        <f>'Kosten Systembetrieb'!$K13</f>
        <v>8423720</v>
      </c>
      <c r="I29" s="362">
        <f>'Kosten Systembetrieb'!$K13</f>
        <v>8423720</v>
      </c>
      <c r="J29" s="362">
        <f>'Kosten Systembetrieb'!$K13</f>
        <v>8423720</v>
      </c>
      <c r="K29" s="362">
        <f>'Kosten Systembetrieb'!$K13</f>
        <v>8423720</v>
      </c>
      <c r="L29" s="362">
        <f>'Kosten Systembetrieb'!$K13</f>
        <v>8423720</v>
      </c>
      <c r="M29" s="362">
        <f>'Kosten Systembetrieb'!$K13</f>
        <v>8423720</v>
      </c>
      <c r="N29" s="362">
        <f>'Kosten Systembetrieb'!$K13</f>
        <v>8423720</v>
      </c>
      <c r="O29" s="362">
        <f>'Kosten Systembetrieb'!$K13</f>
        <v>8423720</v>
      </c>
      <c r="P29" s="362">
        <f>'Kosten Systembetrieb'!$K13</f>
        <v>8423720</v>
      </c>
      <c r="Q29" s="362">
        <f>'Kosten Systembetrieb'!$K13</f>
        <v>8423720</v>
      </c>
      <c r="R29" s="362">
        <f>'Kosten Systembetrieb'!$K13</f>
        <v>8423720</v>
      </c>
      <c r="S29" s="362">
        <f>'Kosten Systembetrieb'!$K13</f>
        <v>8423720</v>
      </c>
    </row>
    <row r="30" spans="1:27" s="365" customFormat="1" ht="27" customHeight="1" x14ac:dyDescent="0.25">
      <c r="A30" s="376" t="s">
        <v>313</v>
      </c>
      <c r="B30" s="377"/>
      <c r="C30" s="378"/>
      <c r="D30" s="378"/>
      <c r="E30" s="362">
        <f>'Kosten Systembetrieb'!$K14</f>
        <v>1250000</v>
      </c>
      <c r="F30" s="362">
        <f>'Kosten Systembetrieb'!$K14</f>
        <v>1250000</v>
      </c>
      <c r="G30" s="362">
        <f>'Kosten Systembetrieb'!$K14</f>
        <v>1250000</v>
      </c>
      <c r="H30" s="362">
        <f>'Kosten Systembetrieb'!$K14</f>
        <v>1250000</v>
      </c>
      <c r="I30" s="362">
        <f>'Kosten Systembetrieb'!$K14</f>
        <v>1250000</v>
      </c>
      <c r="J30" s="362">
        <f>'Kosten Systembetrieb'!$K14</f>
        <v>1250000</v>
      </c>
      <c r="K30" s="362">
        <f>'Kosten Systembetrieb'!$K14</f>
        <v>1250000</v>
      </c>
      <c r="L30" s="362">
        <f>'Kosten Systembetrieb'!$K14</f>
        <v>1250000</v>
      </c>
      <c r="M30" s="362">
        <f>'Kosten Systembetrieb'!$K14</f>
        <v>1250000</v>
      </c>
      <c r="N30" s="362">
        <f>'Kosten Systembetrieb'!$K14</f>
        <v>1250000</v>
      </c>
      <c r="O30" s="362">
        <f>'Kosten Systembetrieb'!$K14</f>
        <v>1250000</v>
      </c>
      <c r="P30" s="362">
        <f>'Kosten Systembetrieb'!$K14</f>
        <v>1250000</v>
      </c>
      <c r="Q30" s="362">
        <f>'Kosten Systembetrieb'!$K14</f>
        <v>1250000</v>
      </c>
      <c r="R30" s="362">
        <f>'Kosten Systembetrieb'!$K14</f>
        <v>1250000</v>
      </c>
      <c r="S30" s="362">
        <f>'Kosten Systembetrieb'!$K14</f>
        <v>1250000</v>
      </c>
    </row>
    <row r="31" spans="1:27" s="365" customFormat="1" ht="27" customHeight="1" x14ac:dyDescent="0.25">
      <c r="A31" s="376" t="s">
        <v>314</v>
      </c>
      <c r="B31" s="377"/>
      <c r="C31" s="378"/>
      <c r="D31" s="378"/>
      <c r="E31" s="362">
        <f>'Kosten Systembetrieb'!$K15</f>
        <v>1145000</v>
      </c>
      <c r="F31" s="362">
        <f>'Kosten Systembetrieb'!$K15</f>
        <v>1145000</v>
      </c>
      <c r="G31" s="362">
        <f>'Kosten Systembetrieb'!$K15</f>
        <v>1145000</v>
      </c>
      <c r="H31" s="362">
        <f>'Kosten Systembetrieb'!$K15</f>
        <v>1145000</v>
      </c>
      <c r="I31" s="362">
        <f>'Kosten Systembetrieb'!$K15</f>
        <v>1145000</v>
      </c>
      <c r="J31" s="362">
        <f>'Kosten Systembetrieb'!$K15</f>
        <v>1145000</v>
      </c>
      <c r="K31" s="362">
        <f>'Kosten Systembetrieb'!$K15</f>
        <v>1145000</v>
      </c>
      <c r="L31" s="362">
        <f>'Kosten Systembetrieb'!$K15</f>
        <v>1145000</v>
      </c>
      <c r="M31" s="362">
        <f>'Kosten Systembetrieb'!$K15</f>
        <v>1145000</v>
      </c>
      <c r="N31" s="362">
        <f>'Kosten Systembetrieb'!$K15</f>
        <v>1145000</v>
      </c>
      <c r="O31" s="362">
        <f>'Kosten Systembetrieb'!$K15</f>
        <v>1145000</v>
      </c>
      <c r="P31" s="362">
        <f>'Kosten Systembetrieb'!$K15</f>
        <v>1145000</v>
      </c>
      <c r="Q31" s="362">
        <f>'Kosten Systembetrieb'!$K15</f>
        <v>1145000</v>
      </c>
      <c r="R31" s="362">
        <f>'Kosten Systembetrieb'!$K15</f>
        <v>1145000</v>
      </c>
      <c r="S31" s="362">
        <f>'Kosten Systembetrieb'!$K15</f>
        <v>1145000</v>
      </c>
    </row>
    <row r="32" spans="1:27" s="365" customFormat="1" ht="27" customHeight="1" x14ac:dyDescent="0.25">
      <c r="A32" s="376" t="s">
        <v>587</v>
      </c>
      <c r="B32" s="377"/>
      <c r="C32" s="378"/>
      <c r="D32" s="378"/>
      <c r="E32" s="362">
        <f>'Kosten Systembetrieb'!$K16</f>
        <v>3771000</v>
      </c>
      <c r="F32" s="362">
        <f>'Kosten Systembetrieb'!$K16</f>
        <v>3771000</v>
      </c>
      <c r="G32" s="362">
        <f>'Kosten Systembetrieb'!$K16</f>
        <v>3771000</v>
      </c>
      <c r="H32" s="362">
        <f>'Kosten Systembetrieb'!$K16</f>
        <v>3771000</v>
      </c>
      <c r="I32" s="362">
        <f>'Kosten Systembetrieb'!$K16</f>
        <v>3771000</v>
      </c>
      <c r="J32" s="362">
        <f>'Kosten Systembetrieb'!$K16</f>
        <v>3771000</v>
      </c>
      <c r="K32" s="362">
        <f>'Kosten Systembetrieb'!$K16</f>
        <v>3771000</v>
      </c>
      <c r="L32" s="362">
        <f>'Kosten Systembetrieb'!$K16</f>
        <v>3771000</v>
      </c>
      <c r="M32" s="362">
        <f>'Kosten Systembetrieb'!$K16</f>
        <v>3771000</v>
      </c>
      <c r="N32" s="362">
        <f>'Kosten Systembetrieb'!$K16</f>
        <v>3771000</v>
      </c>
      <c r="O32" s="362">
        <f>'Kosten Systembetrieb'!$K16</f>
        <v>3771000</v>
      </c>
      <c r="P32" s="362">
        <f>'Kosten Systembetrieb'!$K16</f>
        <v>3771000</v>
      </c>
      <c r="Q32" s="362">
        <f>'Kosten Systembetrieb'!$K16</f>
        <v>3771000</v>
      </c>
      <c r="R32" s="362">
        <f>'Kosten Systembetrieb'!$K16</f>
        <v>3771000</v>
      </c>
      <c r="S32" s="362">
        <f>'Kosten Systembetrieb'!$K16</f>
        <v>3771000</v>
      </c>
    </row>
    <row r="33" spans="1:19" s="365" customFormat="1" ht="27" customHeight="1" x14ac:dyDescent="0.25">
      <c r="A33" s="376" t="s">
        <v>374</v>
      </c>
      <c r="B33" s="377"/>
      <c r="C33" s="378"/>
      <c r="D33" s="378"/>
      <c r="E33" s="362">
        <f>'Kosten Systembetrieb'!$K17</f>
        <v>108400</v>
      </c>
      <c r="F33" s="362">
        <f>'Kosten Systembetrieb'!$K17</f>
        <v>108400</v>
      </c>
      <c r="G33" s="362">
        <f>'Kosten Systembetrieb'!$K17</f>
        <v>108400</v>
      </c>
      <c r="H33" s="362">
        <f>'Kosten Systembetrieb'!$K17</f>
        <v>108400</v>
      </c>
      <c r="I33" s="362">
        <f>'Kosten Systembetrieb'!$K17</f>
        <v>108400</v>
      </c>
      <c r="J33" s="362">
        <f>'Kosten Systembetrieb'!$K17</f>
        <v>108400</v>
      </c>
      <c r="K33" s="362">
        <f>'Kosten Systembetrieb'!$K17</f>
        <v>108400</v>
      </c>
      <c r="L33" s="362">
        <f>'Kosten Systembetrieb'!$K17</f>
        <v>108400</v>
      </c>
      <c r="M33" s="362">
        <f>'Kosten Systembetrieb'!$K17</f>
        <v>108400</v>
      </c>
      <c r="N33" s="362">
        <f>'Kosten Systembetrieb'!$K17</f>
        <v>108400</v>
      </c>
      <c r="O33" s="362">
        <f>'Kosten Systembetrieb'!$K17</f>
        <v>108400</v>
      </c>
      <c r="P33" s="362">
        <f>'Kosten Systembetrieb'!$K17</f>
        <v>108400</v>
      </c>
      <c r="Q33" s="362">
        <f>'Kosten Systembetrieb'!$K17</f>
        <v>108400</v>
      </c>
      <c r="R33" s="362">
        <f>'Kosten Systembetrieb'!$K17</f>
        <v>108400</v>
      </c>
      <c r="S33" s="362">
        <f>'Kosten Systembetrieb'!$K17</f>
        <v>108400</v>
      </c>
    </row>
    <row r="34" spans="1:19" s="365" customFormat="1" ht="27" customHeight="1" x14ac:dyDescent="0.25">
      <c r="A34" s="376" t="s">
        <v>375</v>
      </c>
      <c r="B34" s="377"/>
      <c r="C34" s="378"/>
      <c r="D34" s="378"/>
      <c r="E34" s="362">
        <f>'Kosten Systembetrieb'!$K18</f>
        <v>211695</v>
      </c>
      <c r="F34" s="362">
        <f>'Kosten Systembetrieb'!$K18</f>
        <v>211695</v>
      </c>
      <c r="G34" s="362">
        <f>'Kosten Systembetrieb'!$K18</f>
        <v>211695</v>
      </c>
      <c r="H34" s="362">
        <f>'Kosten Systembetrieb'!$K18</f>
        <v>211695</v>
      </c>
      <c r="I34" s="362">
        <f>'Kosten Systembetrieb'!$K18</f>
        <v>211695</v>
      </c>
      <c r="J34" s="362">
        <f>'Kosten Systembetrieb'!$K18</f>
        <v>211695</v>
      </c>
      <c r="K34" s="362">
        <f>'Kosten Systembetrieb'!$K18</f>
        <v>211695</v>
      </c>
      <c r="L34" s="362">
        <f>'Kosten Systembetrieb'!$K18</f>
        <v>211695</v>
      </c>
      <c r="M34" s="362">
        <f>'Kosten Systembetrieb'!$K18</f>
        <v>211695</v>
      </c>
      <c r="N34" s="362">
        <f>'Kosten Systembetrieb'!$K18</f>
        <v>211695</v>
      </c>
      <c r="O34" s="362">
        <f>'Kosten Systembetrieb'!$K18</f>
        <v>211695</v>
      </c>
      <c r="P34" s="362">
        <f>'Kosten Systembetrieb'!$K18</f>
        <v>211695</v>
      </c>
      <c r="Q34" s="362">
        <f>'Kosten Systembetrieb'!$K18</f>
        <v>211695</v>
      </c>
      <c r="R34" s="362">
        <f>'Kosten Systembetrieb'!$K18</f>
        <v>211695</v>
      </c>
      <c r="S34" s="362">
        <f>'Kosten Systembetrieb'!$K18</f>
        <v>211695</v>
      </c>
    </row>
    <row r="35" spans="1:19" s="365" customFormat="1" ht="27" customHeight="1" x14ac:dyDescent="0.25">
      <c r="A35" s="376" t="s">
        <v>419</v>
      </c>
      <c r="B35" s="377"/>
      <c r="C35" s="378"/>
      <c r="D35" s="378"/>
      <c r="E35" s="362">
        <f>'Kosten Systembetrieb'!$K19</f>
        <v>0</v>
      </c>
      <c r="F35" s="362">
        <f>'Kosten Systembetrieb'!$K19</f>
        <v>0</v>
      </c>
      <c r="G35" s="362">
        <f>'Kosten Systembetrieb'!$K19</f>
        <v>0</v>
      </c>
      <c r="H35" s="362">
        <f>'Kosten Systembetrieb'!$K19</f>
        <v>0</v>
      </c>
      <c r="I35" s="362">
        <f>'Kosten Systembetrieb'!$K19</f>
        <v>0</v>
      </c>
      <c r="J35" s="362">
        <f>'Kosten Systembetrieb'!$K19</f>
        <v>0</v>
      </c>
      <c r="K35" s="362">
        <f>'Kosten Systembetrieb'!$K19</f>
        <v>0</v>
      </c>
      <c r="L35" s="362">
        <f>'Kosten Systembetrieb'!$K19</f>
        <v>0</v>
      </c>
      <c r="M35" s="362">
        <f>'Kosten Systembetrieb'!$K19</f>
        <v>0</v>
      </c>
      <c r="N35" s="362">
        <f>'Kosten Systembetrieb'!$K19</f>
        <v>0</v>
      </c>
      <c r="O35" s="362">
        <f>'Kosten Systembetrieb'!$K19</f>
        <v>0</v>
      </c>
      <c r="P35" s="362">
        <f>'Kosten Systembetrieb'!$K19</f>
        <v>0</v>
      </c>
      <c r="Q35" s="362">
        <f>'Kosten Systembetrieb'!$K19</f>
        <v>0</v>
      </c>
      <c r="R35" s="362">
        <f>'Kosten Systembetrieb'!$K19</f>
        <v>0</v>
      </c>
      <c r="S35" s="362">
        <f>'Kosten Systembetrieb'!$K19</f>
        <v>0</v>
      </c>
    </row>
    <row r="36" spans="1:19" s="365" customFormat="1" ht="27" customHeight="1" x14ac:dyDescent="0.25">
      <c r="A36" s="376" t="s">
        <v>55</v>
      </c>
      <c r="B36" s="377"/>
      <c r="C36" s="378"/>
      <c r="D36" s="378"/>
      <c r="E36" s="362">
        <f>'Kosten Systembetrieb'!$K20</f>
        <v>1410000</v>
      </c>
      <c r="F36" s="362">
        <f>'Kosten Systembetrieb'!$K20</f>
        <v>1410000</v>
      </c>
      <c r="G36" s="362">
        <f>'Kosten Systembetrieb'!$K20</f>
        <v>1410000</v>
      </c>
      <c r="H36" s="362">
        <f>'Kosten Systembetrieb'!$K20</f>
        <v>1410000</v>
      </c>
      <c r="I36" s="362">
        <f>'Kosten Systembetrieb'!$K20</f>
        <v>1410000</v>
      </c>
      <c r="J36" s="362">
        <f>'Kosten Systembetrieb'!$K20</f>
        <v>1410000</v>
      </c>
      <c r="K36" s="362">
        <f>'Kosten Systembetrieb'!$K20</f>
        <v>1410000</v>
      </c>
      <c r="L36" s="362">
        <f>'Kosten Systembetrieb'!$K20</f>
        <v>1410000</v>
      </c>
      <c r="M36" s="362">
        <f>'Kosten Systembetrieb'!$K20</f>
        <v>1410000</v>
      </c>
      <c r="N36" s="362">
        <f>'Kosten Systembetrieb'!$K20</f>
        <v>1410000</v>
      </c>
      <c r="O36" s="362">
        <f>'Kosten Systembetrieb'!$K20</f>
        <v>1410000</v>
      </c>
      <c r="P36" s="362">
        <f>'Kosten Systembetrieb'!$K20</f>
        <v>1410000</v>
      </c>
      <c r="Q36" s="362">
        <f>'Kosten Systembetrieb'!$K20</f>
        <v>1410000</v>
      </c>
      <c r="R36" s="362">
        <f>'Kosten Systembetrieb'!$K20</f>
        <v>1410000</v>
      </c>
      <c r="S36" s="362">
        <f>'Kosten Systembetrieb'!$K20</f>
        <v>1410000</v>
      </c>
    </row>
    <row r="37" spans="1:19" s="365" customFormat="1" ht="14.25" x14ac:dyDescent="0.25">
      <c r="A37" s="376" t="s">
        <v>56</v>
      </c>
      <c r="B37" s="377"/>
      <c r="C37" s="378"/>
      <c r="D37" s="378"/>
      <c r="E37" s="362">
        <f>'Kosten Systembetrieb'!$K$21</f>
        <v>2260000</v>
      </c>
      <c r="F37" s="362">
        <f>'Kosten Systembetrieb'!$K$21</f>
        <v>2260000</v>
      </c>
      <c r="G37" s="362">
        <f>'Kosten Systembetrieb'!$K$21</f>
        <v>2260000</v>
      </c>
      <c r="H37" s="362">
        <f>'Kosten Systembetrieb'!$K$21</f>
        <v>2260000</v>
      </c>
      <c r="I37" s="362">
        <f>'Kosten Systembetrieb'!$K$21</f>
        <v>2260000</v>
      </c>
      <c r="J37" s="362">
        <f>'Kosten Systembetrieb'!$K$21</f>
        <v>2260000</v>
      </c>
      <c r="K37" s="362">
        <f>'Kosten Systembetrieb'!$K$21</f>
        <v>2260000</v>
      </c>
      <c r="L37" s="362">
        <f>'Kosten Systembetrieb'!$K$21</f>
        <v>2260000</v>
      </c>
      <c r="M37" s="362">
        <f>'Kosten Systembetrieb'!$K$21</f>
        <v>2260000</v>
      </c>
      <c r="N37" s="362">
        <f>'Kosten Systembetrieb'!$K$21</f>
        <v>2260000</v>
      </c>
      <c r="O37" s="362">
        <f>'Kosten Systembetrieb'!$K$21</f>
        <v>2260000</v>
      </c>
      <c r="P37" s="362">
        <f>'Kosten Systembetrieb'!$K$21</f>
        <v>2260000</v>
      </c>
      <c r="Q37" s="362">
        <f>'Kosten Systembetrieb'!$K$21</f>
        <v>2260000</v>
      </c>
      <c r="R37" s="362">
        <f>'Kosten Systembetrieb'!$K$21</f>
        <v>2260000</v>
      </c>
      <c r="S37" s="362">
        <f>'Kosten Systembetrieb'!$K$21</f>
        <v>2260000</v>
      </c>
    </row>
    <row r="38" spans="1:19" s="365" customFormat="1" thickBot="1" x14ac:dyDescent="0.3">
      <c r="A38" s="379"/>
      <c r="B38" s="377"/>
      <c r="C38" s="378"/>
      <c r="D38" s="378"/>
      <c r="E38" s="362"/>
      <c r="F38" s="362"/>
      <c r="G38" s="362"/>
      <c r="H38" s="362"/>
      <c r="I38" s="362"/>
      <c r="J38" s="362"/>
      <c r="K38" s="362"/>
      <c r="L38" s="362"/>
      <c r="M38" s="362"/>
      <c r="N38" s="362"/>
      <c r="O38" s="362"/>
      <c r="P38" s="362"/>
      <c r="Q38" s="362"/>
      <c r="R38" s="362"/>
      <c r="S38" s="362"/>
    </row>
    <row r="39" spans="1:19" s="347" customFormat="1" ht="16.5" thickBot="1" x14ac:dyDescent="0.3">
      <c r="A39" s="372" t="s">
        <v>26</v>
      </c>
      <c r="B39" s="348"/>
      <c r="C39" s="373"/>
      <c r="D39" s="373"/>
      <c r="E39" s="374">
        <f t="shared" ref="E39:S39" si="1">SUM(E23:E38)</f>
        <v>34006600</v>
      </c>
      <c r="F39" s="374">
        <f t="shared" si="1"/>
        <v>34006600</v>
      </c>
      <c r="G39" s="374">
        <f t="shared" si="1"/>
        <v>34006600</v>
      </c>
      <c r="H39" s="374">
        <f t="shared" si="1"/>
        <v>34006600</v>
      </c>
      <c r="I39" s="374">
        <f t="shared" si="1"/>
        <v>34006600</v>
      </c>
      <c r="J39" s="374">
        <f t="shared" si="1"/>
        <v>34006600</v>
      </c>
      <c r="K39" s="374">
        <f t="shared" si="1"/>
        <v>34006600</v>
      </c>
      <c r="L39" s="374">
        <f t="shared" si="1"/>
        <v>34006600</v>
      </c>
      <c r="M39" s="374">
        <f t="shared" si="1"/>
        <v>34006600</v>
      </c>
      <c r="N39" s="374">
        <f t="shared" si="1"/>
        <v>34006600</v>
      </c>
      <c r="O39" s="374">
        <f t="shared" si="1"/>
        <v>34006600</v>
      </c>
      <c r="P39" s="374">
        <f t="shared" si="1"/>
        <v>34006600</v>
      </c>
      <c r="Q39" s="374">
        <f t="shared" si="1"/>
        <v>34006600</v>
      </c>
      <c r="R39" s="374">
        <f t="shared" si="1"/>
        <v>34006600</v>
      </c>
      <c r="S39" s="374">
        <f t="shared" si="1"/>
        <v>34006600</v>
      </c>
    </row>
    <row r="40" spans="1:19" s="350" customFormat="1" ht="15.75" x14ac:dyDescent="0.25">
      <c r="A40" s="347" t="s">
        <v>132</v>
      </c>
      <c r="B40" s="380"/>
      <c r="C40" s="353"/>
      <c r="D40" s="353"/>
      <c r="E40" s="381"/>
      <c r="F40" s="381"/>
      <c r="G40" s="381"/>
      <c r="H40" s="381"/>
      <c r="I40" s="381"/>
      <c r="J40" s="381"/>
      <c r="K40" s="381"/>
      <c r="L40" s="381"/>
      <c r="M40" s="381"/>
      <c r="N40" s="381"/>
      <c r="O40" s="381"/>
      <c r="P40" s="381"/>
      <c r="Q40" s="381"/>
      <c r="R40" s="381"/>
      <c r="S40" s="381"/>
    </row>
    <row r="41" spans="1:19" s="365" customFormat="1" ht="14.25" x14ac:dyDescent="0.25">
      <c r="A41" s="376" t="s">
        <v>32</v>
      </c>
      <c r="B41" s="377"/>
      <c r="C41" s="378"/>
      <c r="D41" s="378"/>
      <c r="E41" s="362">
        <f>'Kosten Mobilfunkverträge'!$G$7</f>
        <v>2711700</v>
      </c>
      <c r="F41" s="362">
        <f>'Kosten Mobilfunkverträge'!$G$7</f>
        <v>2711700</v>
      </c>
      <c r="G41" s="362">
        <f>'Kosten Mobilfunkverträge'!$G$7</f>
        <v>2711700</v>
      </c>
      <c r="H41" s="362">
        <f>'Kosten Mobilfunkverträge'!$G$7</f>
        <v>2711700</v>
      </c>
      <c r="I41" s="362">
        <f>'Kosten Mobilfunkverträge'!$G$7</f>
        <v>2711700</v>
      </c>
      <c r="J41" s="362">
        <f>'Kosten Mobilfunkverträge'!$G$7</f>
        <v>2711700</v>
      </c>
      <c r="K41" s="362">
        <f>'Kosten Mobilfunkverträge'!$G$7</f>
        <v>2711700</v>
      </c>
      <c r="L41" s="362">
        <f>'Kosten Mobilfunkverträge'!$G$7</f>
        <v>2711700</v>
      </c>
      <c r="M41" s="362">
        <f>'Kosten Mobilfunkverträge'!$G$7</f>
        <v>2711700</v>
      </c>
      <c r="N41" s="362">
        <f>'Kosten Mobilfunkverträge'!$G$7</f>
        <v>2711700</v>
      </c>
      <c r="O41" s="362">
        <f>'Kosten Mobilfunkverträge'!$G$7</f>
        <v>2711700</v>
      </c>
      <c r="P41" s="362">
        <f>'Kosten Mobilfunkverträge'!$G$7</f>
        <v>2711700</v>
      </c>
      <c r="Q41" s="362">
        <f>'Kosten Mobilfunkverträge'!$G$7</f>
        <v>2711700</v>
      </c>
      <c r="R41" s="362">
        <f>'Kosten Mobilfunkverträge'!$G$7</f>
        <v>2711700</v>
      </c>
      <c r="S41" s="362">
        <f>'Kosten Mobilfunkverträge'!$G$7</f>
        <v>2711700</v>
      </c>
    </row>
    <row r="42" spans="1:19" s="365" customFormat="1" thickBot="1" x14ac:dyDescent="0.3">
      <c r="A42" s="376" t="s">
        <v>33</v>
      </c>
      <c r="B42" s="377"/>
      <c r="C42" s="378"/>
      <c r="D42" s="378"/>
      <c r="E42" s="362">
        <f>'Kosten Mobilfunkverträge'!$G$8</f>
        <v>156900</v>
      </c>
      <c r="F42" s="362">
        <f>'Kosten Mobilfunkverträge'!$G$8</f>
        <v>156900</v>
      </c>
      <c r="G42" s="362">
        <f>'Kosten Mobilfunkverträge'!$G$8</f>
        <v>156900</v>
      </c>
      <c r="H42" s="362">
        <f>'Kosten Mobilfunkverträge'!$G$8</f>
        <v>156900</v>
      </c>
      <c r="I42" s="362">
        <f>'Kosten Mobilfunkverträge'!$G$8</f>
        <v>156900</v>
      </c>
      <c r="J42" s="362">
        <f>'Kosten Mobilfunkverträge'!$G$8</f>
        <v>156900</v>
      </c>
      <c r="K42" s="362">
        <f>'Kosten Mobilfunkverträge'!$G$8</f>
        <v>156900</v>
      </c>
      <c r="L42" s="362">
        <f>'Kosten Mobilfunkverträge'!$G$8</f>
        <v>156900</v>
      </c>
      <c r="M42" s="362">
        <f>'Kosten Mobilfunkverträge'!$G$8</f>
        <v>156900</v>
      </c>
      <c r="N42" s="362">
        <f>'Kosten Mobilfunkverträge'!$G$8</f>
        <v>156900</v>
      </c>
      <c r="O42" s="362">
        <f>'Kosten Mobilfunkverträge'!$G$8</f>
        <v>156900</v>
      </c>
      <c r="P42" s="362">
        <f>'Kosten Mobilfunkverträge'!$G$8</f>
        <v>156900</v>
      </c>
      <c r="Q42" s="362">
        <f>'Kosten Mobilfunkverträge'!$G$8</f>
        <v>156900</v>
      </c>
      <c r="R42" s="362">
        <f>'Kosten Mobilfunkverträge'!$G$8</f>
        <v>156900</v>
      </c>
      <c r="S42" s="362">
        <f>'Kosten Mobilfunkverträge'!$G$8</f>
        <v>156900</v>
      </c>
    </row>
    <row r="43" spans="1:19" s="347" customFormat="1" ht="16.5" thickBot="1" x14ac:dyDescent="0.3">
      <c r="A43" s="372" t="s">
        <v>26</v>
      </c>
      <c r="B43" s="348"/>
      <c r="C43" s="373"/>
      <c r="D43" s="373"/>
      <c r="E43" s="374">
        <f>SUM(E41:E42)</f>
        <v>2868600</v>
      </c>
      <c r="F43" s="374">
        <f t="shared" ref="F43:S43" si="2">SUM(F41:F42)</f>
        <v>2868600</v>
      </c>
      <c r="G43" s="374">
        <f t="shared" si="2"/>
        <v>2868600</v>
      </c>
      <c r="H43" s="374">
        <f t="shared" si="2"/>
        <v>2868600</v>
      </c>
      <c r="I43" s="374">
        <f t="shared" si="2"/>
        <v>2868600</v>
      </c>
      <c r="J43" s="374">
        <f t="shared" si="2"/>
        <v>2868600</v>
      </c>
      <c r="K43" s="374">
        <f t="shared" si="2"/>
        <v>2868600</v>
      </c>
      <c r="L43" s="374">
        <f t="shared" si="2"/>
        <v>2868600</v>
      </c>
      <c r="M43" s="374">
        <f t="shared" si="2"/>
        <v>2868600</v>
      </c>
      <c r="N43" s="374">
        <f t="shared" si="2"/>
        <v>2868600</v>
      </c>
      <c r="O43" s="374">
        <f t="shared" si="2"/>
        <v>2868600</v>
      </c>
      <c r="P43" s="374">
        <f t="shared" si="2"/>
        <v>2868600</v>
      </c>
      <c r="Q43" s="374">
        <f t="shared" si="2"/>
        <v>2868600</v>
      </c>
      <c r="R43" s="374">
        <f t="shared" si="2"/>
        <v>2868600</v>
      </c>
      <c r="S43" s="374">
        <f t="shared" si="2"/>
        <v>2868600</v>
      </c>
    </row>
    <row r="44" spans="1:19" s="350" customFormat="1" ht="15.75" x14ac:dyDescent="0.25">
      <c r="A44" s="347" t="s">
        <v>731</v>
      </c>
      <c r="B44" s="380"/>
      <c r="C44" s="353"/>
      <c r="D44" s="353"/>
      <c r="E44" s="381"/>
      <c r="F44" s="381"/>
      <c r="G44" s="381"/>
      <c r="H44" s="381"/>
      <c r="I44" s="381"/>
      <c r="J44" s="381"/>
      <c r="K44" s="381"/>
      <c r="L44" s="381"/>
      <c r="M44" s="381"/>
      <c r="N44" s="381"/>
      <c r="O44" s="381"/>
      <c r="P44" s="381"/>
      <c r="Q44" s="381"/>
      <c r="R44" s="381"/>
      <c r="S44" s="381"/>
    </row>
    <row r="45" spans="1:19" s="365" customFormat="1" ht="14.25" x14ac:dyDescent="0.25">
      <c r="A45" s="376" t="s">
        <v>75</v>
      </c>
      <c r="B45" s="377"/>
      <c r="C45" s="378"/>
      <c r="D45" s="378"/>
      <c r="E45" s="413">
        <f>Übersicht!$C$43*'Kosten Kundencenter'!$G$49</f>
        <v>19057067.282837838</v>
      </c>
      <c r="F45" s="413">
        <f>Übersicht!$C$43*'Kosten Kundencenter'!$G$49</f>
        <v>19057067.282837838</v>
      </c>
      <c r="G45" s="413">
        <f>Übersicht!$C$43*'Kosten Kundencenter'!$G$49</f>
        <v>19057067.282837838</v>
      </c>
      <c r="H45" s="413">
        <f>Übersicht!$C$43*'Kosten Kundencenter'!$G$49</f>
        <v>19057067.282837838</v>
      </c>
      <c r="I45" s="413">
        <f>Übersicht!$C$43*'Kosten Kundencenter'!$G$49</f>
        <v>19057067.282837838</v>
      </c>
      <c r="J45" s="413">
        <f>Übersicht!$C$43*'Kosten Kundencenter'!$G$49</f>
        <v>19057067.282837838</v>
      </c>
      <c r="K45" s="413">
        <f>Übersicht!$C$43*'Kosten Kundencenter'!$G$49</f>
        <v>19057067.282837838</v>
      </c>
      <c r="L45" s="413">
        <f>Übersicht!$C$43*'Kosten Kundencenter'!$G$49</f>
        <v>19057067.282837838</v>
      </c>
      <c r="M45" s="413">
        <f>Übersicht!$C$43*'Kosten Kundencenter'!$G$49</f>
        <v>19057067.282837838</v>
      </c>
      <c r="N45" s="413">
        <f>Übersicht!$C$43*'Kosten Kundencenter'!$G$49</f>
        <v>19057067.282837838</v>
      </c>
      <c r="O45" s="413">
        <f>Übersicht!$C$43*'Kosten Kundencenter'!$G$49</f>
        <v>19057067.282837838</v>
      </c>
      <c r="P45" s="413">
        <f>Übersicht!$C$43*'Kosten Kundencenter'!$G$49</f>
        <v>19057067.282837838</v>
      </c>
      <c r="Q45" s="413">
        <f>Übersicht!$C$43*'Kosten Kundencenter'!$G$49</f>
        <v>19057067.282837838</v>
      </c>
      <c r="R45" s="413">
        <f>Übersicht!$C$43*'Kosten Kundencenter'!$G$49</f>
        <v>19057067.282837838</v>
      </c>
      <c r="S45" s="413">
        <f>Übersicht!$C$43*'Kosten Kundencenter'!$G$49</f>
        <v>19057067.282837838</v>
      </c>
    </row>
    <row r="46" spans="1:19" s="365" customFormat="1" thickBot="1" x14ac:dyDescent="0.3">
      <c r="A46" s="376" t="s">
        <v>730</v>
      </c>
      <c r="B46" s="377"/>
      <c r="C46" s="378"/>
      <c r="D46" s="378"/>
      <c r="E46" s="413">
        <f>'Kosten Kundencenter'!$J36</f>
        <v>4041450</v>
      </c>
      <c r="F46" s="413">
        <f>'Kosten Kundencenter'!$J36</f>
        <v>4041450</v>
      </c>
      <c r="G46" s="413">
        <f>'Kosten Kundencenter'!$J36</f>
        <v>4041450</v>
      </c>
      <c r="H46" s="413">
        <f>'Kosten Kundencenter'!$J36</f>
        <v>4041450</v>
      </c>
      <c r="I46" s="413">
        <f>'Kosten Kundencenter'!$J36</f>
        <v>4041450</v>
      </c>
      <c r="J46" s="413">
        <f>'Kosten Kundencenter'!$J36</f>
        <v>4041450</v>
      </c>
      <c r="K46" s="413">
        <f>'Kosten Kundencenter'!$J36</f>
        <v>4041450</v>
      </c>
      <c r="L46" s="413">
        <f>'Kosten Kundencenter'!$J36</f>
        <v>4041450</v>
      </c>
      <c r="M46" s="413">
        <f>'Kosten Kundencenter'!$J36</f>
        <v>4041450</v>
      </c>
      <c r="N46" s="413">
        <f>'Kosten Kundencenter'!$J36</f>
        <v>4041450</v>
      </c>
      <c r="O46" s="413">
        <f>'Kosten Kundencenter'!$J36</f>
        <v>4041450</v>
      </c>
      <c r="P46" s="413">
        <f>'Kosten Kundencenter'!$J36</f>
        <v>4041450</v>
      </c>
      <c r="Q46" s="413">
        <f>'Kosten Kundencenter'!$J36</f>
        <v>4041450</v>
      </c>
      <c r="R46" s="413">
        <f>'Kosten Kundencenter'!$J36</f>
        <v>4041450</v>
      </c>
      <c r="S46" s="413">
        <f>'Kosten Kundencenter'!$J36</f>
        <v>4041450</v>
      </c>
    </row>
    <row r="47" spans="1:19" s="365" customFormat="1" ht="22.9" customHeight="1" thickBot="1" x14ac:dyDescent="0.3">
      <c r="A47" s="414" t="s">
        <v>443</v>
      </c>
      <c r="B47" s="383"/>
      <c r="C47" s="384"/>
      <c r="D47" s="384"/>
      <c r="E47" s="415">
        <f>E39+E43+E45+E46</f>
        <v>59973717.282837838</v>
      </c>
      <c r="F47" s="415">
        <f>F39+F43+F45+F46</f>
        <v>59973717.282837838</v>
      </c>
      <c r="G47" s="415">
        <f t="shared" ref="G47:S47" si="3">G39+G43+G45+G46</f>
        <v>59973717.282837838</v>
      </c>
      <c r="H47" s="415">
        <f t="shared" si="3"/>
        <v>59973717.282837838</v>
      </c>
      <c r="I47" s="415">
        <f t="shared" si="3"/>
        <v>59973717.282837838</v>
      </c>
      <c r="J47" s="415">
        <f t="shared" si="3"/>
        <v>59973717.282837838</v>
      </c>
      <c r="K47" s="415">
        <f t="shared" si="3"/>
        <v>59973717.282837838</v>
      </c>
      <c r="L47" s="415">
        <f t="shared" si="3"/>
        <v>59973717.282837838</v>
      </c>
      <c r="M47" s="415">
        <f t="shared" si="3"/>
        <v>59973717.282837838</v>
      </c>
      <c r="N47" s="415">
        <f t="shared" si="3"/>
        <v>59973717.282837838</v>
      </c>
      <c r="O47" s="415">
        <f t="shared" si="3"/>
        <v>59973717.282837838</v>
      </c>
      <c r="P47" s="415">
        <f t="shared" si="3"/>
        <v>59973717.282837838</v>
      </c>
      <c r="Q47" s="415">
        <f t="shared" si="3"/>
        <v>59973717.282837838</v>
      </c>
      <c r="R47" s="415">
        <f t="shared" si="3"/>
        <v>59973717.282837838</v>
      </c>
      <c r="S47" s="415">
        <f t="shared" si="3"/>
        <v>59973717.282837838</v>
      </c>
    </row>
    <row r="48" spans="1:19" s="350" customFormat="1" x14ac:dyDescent="0.25">
      <c r="B48" s="380"/>
      <c r="C48" s="353"/>
      <c r="D48" s="353"/>
      <c r="E48" s="381"/>
      <c r="F48" s="381"/>
      <c r="G48" s="381"/>
      <c r="H48" s="381"/>
      <c r="I48" s="381"/>
      <c r="J48" s="381"/>
      <c r="K48" s="381"/>
      <c r="L48" s="381"/>
      <c r="M48" s="381"/>
      <c r="N48" s="381"/>
      <c r="O48" s="381"/>
      <c r="P48" s="381"/>
      <c r="Q48" s="381"/>
      <c r="R48" s="381"/>
      <c r="S48" s="381"/>
    </row>
    <row r="49" spans="1:19" s="350" customFormat="1" ht="15.75" x14ac:dyDescent="0.25">
      <c r="A49" s="386" t="s">
        <v>732</v>
      </c>
      <c r="B49" s="380"/>
      <c r="C49" s="353"/>
      <c r="D49" s="353"/>
      <c r="E49" s="381"/>
      <c r="F49" s="381"/>
      <c r="G49" s="381"/>
      <c r="H49" s="381"/>
      <c r="I49" s="381"/>
      <c r="J49" s="381"/>
      <c r="K49" s="381"/>
      <c r="L49" s="381"/>
      <c r="M49" s="381"/>
      <c r="N49" s="381"/>
      <c r="O49" s="381"/>
      <c r="P49" s="381"/>
      <c r="Q49" s="381"/>
      <c r="R49" s="381"/>
      <c r="S49" s="381"/>
    </row>
    <row r="50" spans="1:19" s="365" customFormat="1" ht="14.25" x14ac:dyDescent="0.25">
      <c r="A50" s="387" t="s">
        <v>623</v>
      </c>
      <c r="B50" s="377"/>
      <c r="C50" s="416"/>
      <c r="D50" s="389">
        <f>-Finanzierung!G61-Finanzierung!H61</f>
        <v>12242794.482000001</v>
      </c>
      <c r="E50" s="389">
        <f>'Finanzierung (2)'!D9+'Finanzierung (2)'!D10+'Finanzierung (2)'!D11-Finanzierung!I57</f>
        <v>10386273.07071</v>
      </c>
      <c r="F50" s="389">
        <f>'Finanzierung (2)'!E9+'Finanzierung (2)'!E10+'Finanzierung (2)'!E11-Finanzierung!J57</f>
        <v>10070557.413522538</v>
      </c>
      <c r="G50" s="389">
        <f>'Finanzierung (2)'!F9+'Finanzierung (2)'!F10+'Finanzierung (2)'!F11-Finanzierung!K57</f>
        <v>9745370.2866194546</v>
      </c>
      <c r="H50" s="389">
        <f>'Finanzierung (2)'!G9+'Finanzierung (2)'!G10+'Finanzierung (2)'!G11-Finanzierung!L57</f>
        <v>9449457.5459092781</v>
      </c>
      <c r="I50" s="389">
        <f>'Finanzierung (2)'!H9+'Finanzierung (2)'!H10+'Finanzierung (2)'!H11-Finanzierung!M57</f>
        <v>9104466.5229777955</v>
      </c>
      <c r="J50" s="389">
        <f>'Finanzierung (2)'!I9+'Finanzierung (2)'!I10+'Finanzierung (2)'!I11-Finanzierung!N57</f>
        <v>8826076.5193583686</v>
      </c>
      <c r="K50" s="389">
        <f>'Finanzierung (2)'!J9+'Finanzierung (2)'!J10+'Finanzierung (2)'!J11-Finanzierung!O57</f>
        <v>8499105.5431303587</v>
      </c>
      <c r="L50" s="389">
        <f>'Finanzierung (2)'!K9+'Finanzierung (2)'!K10+'Finanzierung (2)'!K11-Finanzierung!P57</f>
        <v>8122124.5376155097</v>
      </c>
      <c r="M50" s="389">
        <f>'Finanzierung (2)'!L9+'Finanzierung (2)'!L10+'Finanzierung (2)'!L11-Finanzierung!Q57</f>
        <v>7733834.1019352144</v>
      </c>
      <c r="N50" s="389">
        <f>'Finanzierung (2)'!M9+'Finanzierung (2)'!M10+'Finanzierung (2)'!M11-Finanzierung!R57</f>
        <v>9683383.9531845096</v>
      </c>
      <c r="O50" s="389">
        <f>'Finanzierung (2)'!N9+'Finanzierung (2)'!N10+'Finanzierung (2)'!N11-Finanzierung!S57</f>
        <v>9348397.3799712844</v>
      </c>
      <c r="P50" s="389">
        <f>'Finanzierung (2)'!O9+'Finanzierung (2)'!O10+'Finanzierung (2)'!O11-Finanzierung!T57</f>
        <v>8924101.9370616637</v>
      </c>
      <c r="Q50" s="389">
        <f>'Finanzierung (2)'!P9+'Finanzierung (2)'!P10+'Finanzierung (2)'!P11-Finanzierung!U57</f>
        <v>8526107.6308647525</v>
      </c>
      <c r="R50" s="389">
        <f>'Finanzierung (2)'!Q9+'Finanzierung (2)'!Q10+'Finanzierung (2)'!Q11-Finanzierung!V57</f>
        <v>8075972.595481934</v>
      </c>
      <c r="S50" s="389">
        <f>'Finanzierung (2)'!R9+'Finanzierung (2)'!R10+'Finanzierung (2)'!R11-Finanzierung!W57</f>
        <v>7612333.5090376316</v>
      </c>
    </row>
    <row r="51" spans="1:19" s="350" customFormat="1" ht="15.75" thickBot="1" x14ac:dyDescent="0.3">
      <c r="B51" s="380"/>
      <c r="C51" s="353"/>
      <c r="D51" s="353"/>
      <c r="E51" s="381"/>
      <c r="F51" s="381"/>
      <c r="G51" s="381"/>
      <c r="H51" s="381"/>
      <c r="I51" s="381"/>
      <c r="J51" s="381"/>
      <c r="K51" s="381"/>
      <c r="L51" s="381"/>
      <c r="M51" s="381"/>
      <c r="N51" s="381"/>
      <c r="O51" s="381"/>
      <c r="P51" s="381"/>
      <c r="Q51" s="381"/>
      <c r="R51" s="381"/>
      <c r="S51" s="381"/>
    </row>
    <row r="52" spans="1:19" s="350" customFormat="1" ht="16.5" thickBot="1" x14ac:dyDescent="0.3">
      <c r="A52" s="390" t="s">
        <v>694</v>
      </c>
      <c r="B52" s="348"/>
      <c r="C52" s="373"/>
      <c r="D52" s="391">
        <f t="shared" ref="D52:S52" si="4">D47+D50</f>
        <v>12242794.482000001</v>
      </c>
      <c r="E52" s="391">
        <f t="shared" si="4"/>
        <v>70359990.353547841</v>
      </c>
      <c r="F52" s="391">
        <f t="shared" si="4"/>
        <v>70044274.696360379</v>
      </c>
      <c r="G52" s="391">
        <f>G47+G50</f>
        <v>69719087.569457293</v>
      </c>
      <c r="H52" s="391">
        <f t="shared" si="4"/>
        <v>69423174.828747123</v>
      </c>
      <c r="I52" s="391">
        <f t="shared" si="4"/>
        <v>69078183.805815637</v>
      </c>
      <c r="J52" s="391">
        <f t="shared" si="4"/>
        <v>68799793.802196205</v>
      </c>
      <c r="K52" s="391">
        <f t="shared" si="4"/>
        <v>68472822.825968191</v>
      </c>
      <c r="L52" s="391">
        <f t="shared" si="4"/>
        <v>68095841.820453346</v>
      </c>
      <c r="M52" s="391">
        <f t="shared" si="4"/>
        <v>67707551.384773046</v>
      </c>
      <c r="N52" s="391">
        <f t="shared" si="4"/>
        <v>69657101.236022353</v>
      </c>
      <c r="O52" s="391">
        <f t="shared" si="4"/>
        <v>69322114.662809119</v>
      </c>
      <c r="P52" s="391">
        <f t="shared" si="4"/>
        <v>68897819.219899505</v>
      </c>
      <c r="Q52" s="391">
        <f t="shared" si="4"/>
        <v>68499824.913702592</v>
      </c>
      <c r="R52" s="391">
        <f t="shared" si="4"/>
        <v>68049689.87831977</v>
      </c>
      <c r="S52" s="391">
        <f t="shared" si="4"/>
        <v>67586050.791875467</v>
      </c>
    </row>
    <row r="53" spans="1:19" s="347" customFormat="1" ht="16.5" thickBot="1" x14ac:dyDescent="0.3">
      <c r="A53" s="390" t="s">
        <v>695</v>
      </c>
      <c r="B53" s="348"/>
      <c r="C53" s="373"/>
      <c r="D53" s="417">
        <f>D21+D50</f>
        <v>162719619.48199999</v>
      </c>
      <c r="E53" s="391">
        <f>E21+E39+E43+E45+E46+E50</f>
        <v>70359990.360166967</v>
      </c>
      <c r="F53" s="391">
        <f t="shared" ref="F53:S53" si="5">F21+F39+F43+F45+F46+F50</f>
        <v>70044274.696360379</v>
      </c>
      <c r="G53" s="391">
        <f t="shared" si="5"/>
        <v>69719087.569457293</v>
      </c>
      <c r="H53" s="391">
        <f t="shared" si="5"/>
        <v>70724174.828747123</v>
      </c>
      <c r="I53" s="391">
        <f t="shared" si="5"/>
        <v>69078183.805815637</v>
      </c>
      <c r="J53" s="391">
        <f t="shared" si="5"/>
        <v>71364818.802196205</v>
      </c>
      <c r="K53" s="391">
        <f t="shared" si="5"/>
        <v>69773822.825968191</v>
      </c>
      <c r="L53" s="391">
        <f t="shared" si="5"/>
        <v>68095841.820453346</v>
      </c>
      <c r="M53" s="391">
        <f t="shared" si="5"/>
        <v>67707551.384773046</v>
      </c>
      <c r="N53" s="391">
        <f t="shared" si="5"/>
        <v>147973401.23602235</v>
      </c>
      <c r="O53" s="391">
        <f t="shared" si="5"/>
        <v>71887139.662809119</v>
      </c>
      <c r="P53" s="391">
        <f t="shared" si="5"/>
        <v>68897819.219899505</v>
      </c>
      <c r="Q53" s="391">
        <f t="shared" si="5"/>
        <v>69800824.913702592</v>
      </c>
      <c r="R53" s="391">
        <f t="shared" si="5"/>
        <v>68049689.87831977</v>
      </c>
      <c r="S53" s="391">
        <f t="shared" si="5"/>
        <v>67586050.791875467</v>
      </c>
    </row>
    <row r="54" spans="1:19" s="350" customFormat="1" x14ac:dyDescent="0.25">
      <c r="B54" s="380"/>
      <c r="C54" s="353"/>
      <c r="D54" s="353"/>
      <c r="E54" s="381"/>
      <c r="F54" s="381"/>
      <c r="G54" s="381"/>
      <c r="H54" s="381"/>
      <c r="I54" s="381"/>
      <c r="J54" s="381"/>
      <c r="K54" s="381"/>
      <c r="L54" s="381"/>
      <c r="M54" s="381"/>
      <c r="N54" s="381"/>
      <c r="O54" s="381"/>
      <c r="P54" s="381"/>
      <c r="Q54" s="381"/>
      <c r="R54" s="381"/>
      <c r="S54" s="381"/>
    </row>
    <row r="56" spans="1:19" s="395" customFormat="1" ht="15.75" x14ac:dyDescent="0.25">
      <c r="A56" s="392" t="s">
        <v>733</v>
      </c>
      <c r="B56" s="393"/>
      <c r="C56" s="394"/>
      <c r="D56" s="394"/>
    </row>
    <row r="57" spans="1:19" s="365" customFormat="1" ht="14.25" x14ac:dyDescent="0.25">
      <c r="A57" s="376" t="s">
        <v>408</v>
      </c>
      <c r="B57" s="377"/>
      <c r="C57" s="378"/>
      <c r="D57" s="378"/>
      <c r="E57" s="362">
        <f>'Kosten für Chipkarten'!$E$11*Übersicht!$C59-Übersicht!$C59*Übersicht!$C64</f>
        <v>4512000</v>
      </c>
      <c r="F57" s="362">
        <f>'Kosten für Chipkarten'!$E$11*Übersicht!$C59*Eingabeparameter!$C41-Übersicht!$C59*Eingabeparameter!$C41*Übersicht!$C64</f>
        <v>1804800</v>
      </c>
      <c r="G57" s="362">
        <f>'Kosten für Chipkarten'!$E$11*Übersicht!$C59*Eingabeparameter!$C41-Übersicht!$C59*Eingabeparameter!$C41*Übersicht!$C64</f>
        <v>1804800</v>
      </c>
      <c r="H57" s="362">
        <f>'Kosten für Chipkarten'!$E$11*Übersicht!$C59*Eingabeparameter!$C41-Übersicht!$C59*Eingabeparameter!$C41*Übersicht!$C64</f>
        <v>1804800</v>
      </c>
      <c r="I57" s="362">
        <f>'Kosten für Chipkarten'!$E$11*Übersicht!$C59*Eingabeparameter!$C41-Übersicht!$C59*Eingabeparameter!$C41*Übersicht!$C64</f>
        <v>1804800</v>
      </c>
      <c r="J57" s="362">
        <f>'Kosten für Chipkarten'!$E$11*Übersicht!$C59*Eingabeparameter!$C41-Übersicht!$C59*Eingabeparameter!$C41*Übersicht!$C64</f>
        <v>1804800</v>
      </c>
      <c r="K57" s="362">
        <f>'Kosten für Chipkarten'!$E$11*Übersicht!$C59*Eingabeparameter!$C41-Übersicht!$C59*Eingabeparameter!$C41*Übersicht!$C64</f>
        <v>1804800</v>
      </c>
      <c r="L57" s="362">
        <f>'Kosten für Chipkarten'!$E$11*Übersicht!$C59*Eingabeparameter!$C41-Übersicht!$C59*Eingabeparameter!$C41*Übersicht!$C64</f>
        <v>1804800</v>
      </c>
      <c r="M57" s="362">
        <f>'Kosten für Chipkarten'!$E$11*Übersicht!$C59*Eingabeparameter!$C41-Übersicht!$C59*Eingabeparameter!$C41*Übersicht!$C64</f>
        <v>1804800</v>
      </c>
      <c r="N57" s="362">
        <f>'Kosten für Chipkarten'!$E$11*Übersicht!$C59*Eingabeparameter!$C41-Übersicht!$C59*Eingabeparameter!$C41*Übersicht!$C64</f>
        <v>1804800</v>
      </c>
      <c r="O57" s="362">
        <f>'Kosten für Chipkarten'!$E$11*Übersicht!$C59*Eingabeparameter!$C41-Übersicht!$C59*Eingabeparameter!$C41*Übersicht!$C64</f>
        <v>1804800</v>
      </c>
      <c r="P57" s="362">
        <f>'Kosten für Chipkarten'!$E$11*Übersicht!$C59*Eingabeparameter!$C41-Übersicht!$C59*Eingabeparameter!$C41*Übersicht!$C64</f>
        <v>1804800</v>
      </c>
      <c r="Q57" s="362">
        <f>'Kosten für Chipkarten'!$E$11*Übersicht!$C59*Eingabeparameter!$C41-Übersicht!$C59*Eingabeparameter!$C41*Übersicht!$C64</f>
        <v>1804800</v>
      </c>
      <c r="R57" s="362">
        <f>'Kosten für Chipkarten'!$E$11*Übersicht!$C59*Eingabeparameter!$C41-Übersicht!$C59*Eingabeparameter!$C41*Übersicht!$C64</f>
        <v>1804800</v>
      </c>
      <c r="S57" s="362">
        <f>'Kosten für Chipkarten'!$E$11*Übersicht!$C59*Eingabeparameter!$C41-Übersicht!$C59*Eingabeparameter!$C41*Übersicht!$C64</f>
        <v>1804800</v>
      </c>
    </row>
    <row r="58" spans="1:19" s="365" customFormat="1" ht="14.25" x14ac:dyDescent="0.25">
      <c r="A58" s="376" t="s">
        <v>409</v>
      </c>
      <c r="B58" s="377"/>
      <c r="C58" s="378"/>
      <c r="D58" s="378"/>
      <c r="E58" s="362">
        <f>'Kosten für Chipkarten'!$E$11*Übersicht!$C60-Übersicht!$C60*Übersicht!$C65</f>
        <v>5640000</v>
      </c>
      <c r="F58" s="362">
        <f>'Kosten für Chipkarten'!$E$11*Übersicht!$C60*Eingabeparameter!$C42-Übersicht!$C60*Eingabeparameter!$C42*Übersicht!$C65</f>
        <v>1128000</v>
      </c>
      <c r="G58" s="362">
        <f>'Kosten für Chipkarten'!$E$11*Übersicht!$C60*Eingabeparameter!$C42-Übersicht!$C60*Eingabeparameter!$C42*Übersicht!$C65</f>
        <v>1128000</v>
      </c>
      <c r="H58" s="362">
        <f>'Kosten für Chipkarten'!$E$11*Übersicht!$C60*Eingabeparameter!$C42-Übersicht!$C60*Eingabeparameter!$C42*Übersicht!$C65</f>
        <v>1128000</v>
      </c>
      <c r="I58" s="362">
        <f>'Kosten für Chipkarten'!$E$11*Übersicht!$C60*Eingabeparameter!$C42-Übersicht!$C60*Eingabeparameter!$C42*Übersicht!$C65</f>
        <v>1128000</v>
      </c>
      <c r="J58" s="362">
        <f>'Kosten für Chipkarten'!$E$11*Übersicht!$C60*Eingabeparameter!$C42-Übersicht!$C60*Eingabeparameter!$C42*Übersicht!$C65</f>
        <v>1128000</v>
      </c>
      <c r="K58" s="362">
        <f>'Kosten für Chipkarten'!$E$11*Übersicht!$C60*Eingabeparameter!$C42-Übersicht!$C60*Eingabeparameter!$C42*Übersicht!$C65</f>
        <v>1128000</v>
      </c>
      <c r="L58" s="362">
        <f>'Kosten für Chipkarten'!$E$11*Übersicht!$C60*Eingabeparameter!$C42-Übersicht!$C60*Eingabeparameter!$C42*Übersicht!$C65</f>
        <v>1128000</v>
      </c>
      <c r="M58" s="362">
        <f>'Kosten für Chipkarten'!$E$11*Übersicht!$C60*Eingabeparameter!$C42-Übersicht!$C60*Eingabeparameter!$C42*Übersicht!$C65</f>
        <v>1128000</v>
      </c>
      <c r="N58" s="362">
        <f>'Kosten für Chipkarten'!$E$11*Übersicht!$C60*Eingabeparameter!$C42-Übersicht!$C60*Eingabeparameter!$C42*Übersicht!$C65</f>
        <v>1128000</v>
      </c>
      <c r="O58" s="362">
        <f>'Kosten für Chipkarten'!$E$11*Übersicht!$C60*Eingabeparameter!$C42-Übersicht!$C60*Eingabeparameter!$C42*Übersicht!$C65</f>
        <v>1128000</v>
      </c>
      <c r="P58" s="362">
        <f>'Kosten für Chipkarten'!$E$11*Übersicht!$C60*Eingabeparameter!$C42-Übersicht!$C60*Eingabeparameter!$C42*Übersicht!$C65</f>
        <v>1128000</v>
      </c>
      <c r="Q58" s="362">
        <f>'Kosten für Chipkarten'!$E$11*Übersicht!$C60*Eingabeparameter!$C42-Übersicht!$C60*Eingabeparameter!$C42*Übersicht!$C65</f>
        <v>1128000</v>
      </c>
      <c r="R58" s="362">
        <f>'Kosten für Chipkarten'!$E$11*Übersicht!$C60*Eingabeparameter!$C42-Übersicht!$C60*Eingabeparameter!$C42*Übersicht!$C65</f>
        <v>1128000</v>
      </c>
      <c r="S58" s="362">
        <f>'Kosten für Chipkarten'!$E$11*Übersicht!$C60*Eingabeparameter!$C42-Übersicht!$C60*Eingabeparameter!$C42*Übersicht!$C65</f>
        <v>1128000</v>
      </c>
    </row>
    <row r="59" spans="1:19" s="365" customFormat="1" thickBot="1" x14ac:dyDescent="0.3">
      <c r="A59" s="376" t="s">
        <v>410</v>
      </c>
      <c r="B59" s="377"/>
      <c r="C59" s="378"/>
      <c r="D59" s="378"/>
      <c r="E59" s="362">
        <f>'Kosten für Chipkarten'!$E$11*Übersicht!$C61-Übersicht!$C61*Übersicht!$C66</f>
        <v>6204000</v>
      </c>
      <c r="F59" s="362">
        <f>'Kosten für Chipkarten'!$E$11*Übersicht!$C61*Eingabeparameter!$C43-Übersicht!$C61*Eingabeparameter!$C43*Übersicht!$C66</f>
        <v>1240800</v>
      </c>
      <c r="G59" s="362">
        <f>'Kosten für Chipkarten'!$E$11*Übersicht!$C61*Eingabeparameter!$C43-Übersicht!$C61*Eingabeparameter!$C43*Übersicht!$C66</f>
        <v>1240800</v>
      </c>
      <c r="H59" s="362">
        <f>'Kosten für Chipkarten'!$E$11*Übersicht!$C61*Eingabeparameter!$C43-Übersicht!$C61*Eingabeparameter!$C43*Übersicht!$C66</f>
        <v>1240800</v>
      </c>
      <c r="I59" s="362">
        <f>'Kosten für Chipkarten'!$E$11*Übersicht!$C61*Eingabeparameter!$C43-Übersicht!$C61*Eingabeparameter!$C43*Übersicht!$C66</f>
        <v>1240800</v>
      </c>
      <c r="J59" s="362">
        <f>'Kosten für Chipkarten'!$E$11*Übersicht!$C61*Eingabeparameter!$C43-Übersicht!$C61*Eingabeparameter!$C43*Übersicht!$C66</f>
        <v>1240800</v>
      </c>
      <c r="K59" s="362">
        <f>'Kosten für Chipkarten'!$E$11*Übersicht!$C61*Eingabeparameter!$C43-Übersicht!$C61*Eingabeparameter!$C43*Übersicht!$C66</f>
        <v>1240800</v>
      </c>
      <c r="L59" s="362">
        <f>'Kosten für Chipkarten'!$E$11*Übersicht!$C61*Eingabeparameter!$C43-Übersicht!$C61*Eingabeparameter!$C43*Übersicht!$C66</f>
        <v>1240800</v>
      </c>
      <c r="M59" s="362">
        <f>'Kosten für Chipkarten'!$E$11*Übersicht!$C61*Eingabeparameter!$C43-Übersicht!$C61*Eingabeparameter!$C43*Übersicht!$C66</f>
        <v>1240800</v>
      </c>
      <c r="N59" s="362">
        <f>'Kosten für Chipkarten'!$E$11*Übersicht!$C61*Eingabeparameter!$C43-Übersicht!$C61*Eingabeparameter!$C43*Übersicht!$C66</f>
        <v>1240800</v>
      </c>
      <c r="O59" s="362">
        <f>'Kosten für Chipkarten'!$E$11*Übersicht!$C61*Eingabeparameter!$C43-Übersicht!$C61*Eingabeparameter!$C43*Übersicht!$C66</f>
        <v>1240800</v>
      </c>
      <c r="P59" s="362">
        <f>'Kosten für Chipkarten'!$E$11*Übersicht!$C61*Eingabeparameter!$C43-Übersicht!$C61*Eingabeparameter!$C43*Übersicht!$C66</f>
        <v>1240800</v>
      </c>
      <c r="Q59" s="362">
        <f>'Kosten für Chipkarten'!$E$11*Übersicht!$C61*Eingabeparameter!$C43-Übersicht!$C61*Eingabeparameter!$C43*Übersicht!$C66</f>
        <v>1240800</v>
      </c>
      <c r="R59" s="362">
        <f>'Kosten für Chipkarten'!$E$11*Übersicht!$C61*Eingabeparameter!$C43-Übersicht!$C61*Eingabeparameter!$C43*Übersicht!$C66</f>
        <v>1240800</v>
      </c>
      <c r="S59" s="362">
        <f>'Kosten für Chipkarten'!$E$11*Übersicht!$C61*Eingabeparameter!$C43-Übersicht!$C61*Eingabeparameter!$C43*Übersicht!$C66</f>
        <v>1240800</v>
      </c>
    </row>
    <row r="60" spans="1:19" s="401" customFormat="1" ht="16.5" thickBot="1" x14ac:dyDescent="0.3">
      <c r="A60" s="397" t="s">
        <v>26</v>
      </c>
      <c r="B60" s="398"/>
      <c r="C60" s="399"/>
      <c r="D60" s="399"/>
      <c r="E60" s="400">
        <f>SUM(E57:E59)</f>
        <v>16356000</v>
      </c>
      <c r="F60" s="400">
        <f t="shared" ref="F60:S60" si="6">SUM(F57:F59)</f>
        <v>4173600</v>
      </c>
      <c r="G60" s="400">
        <f t="shared" si="6"/>
        <v>4173600</v>
      </c>
      <c r="H60" s="400">
        <f t="shared" si="6"/>
        <v>4173600</v>
      </c>
      <c r="I60" s="400">
        <f t="shared" si="6"/>
        <v>4173600</v>
      </c>
      <c r="J60" s="400">
        <f t="shared" si="6"/>
        <v>4173600</v>
      </c>
      <c r="K60" s="400">
        <f t="shared" si="6"/>
        <v>4173600</v>
      </c>
      <c r="L60" s="400">
        <f t="shared" si="6"/>
        <v>4173600</v>
      </c>
      <c r="M60" s="400">
        <f t="shared" si="6"/>
        <v>4173600</v>
      </c>
      <c r="N60" s="400">
        <f t="shared" si="6"/>
        <v>4173600</v>
      </c>
      <c r="O60" s="400">
        <f t="shared" si="6"/>
        <v>4173600</v>
      </c>
      <c r="P60" s="400">
        <f t="shared" si="6"/>
        <v>4173600</v>
      </c>
      <c r="Q60" s="400">
        <f t="shared" si="6"/>
        <v>4173600</v>
      </c>
      <c r="R60" s="400">
        <f t="shared" si="6"/>
        <v>4173600</v>
      </c>
      <c r="S60" s="400">
        <f t="shared" si="6"/>
        <v>4173600</v>
      </c>
    </row>
  </sheetData>
  <sheetProtection sheet="1" objects="1" scenarios="1"/>
  <mergeCells count="1">
    <mergeCell ref="B3:B5"/>
  </mergeCells>
  <printOptions horizontalCentered="1" verticalCentered="1"/>
  <pageMargins left="0.70866141732283472" right="0.70866141732283472" top="0.98425196850393704" bottom="0.78740157480314965" header="0.31496062992125984" footer="0.31496062992125984"/>
  <pageSetup paperSize="8" scale="55"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R27"/>
  <sheetViews>
    <sheetView zoomScaleNormal="100" workbookViewId="0"/>
  </sheetViews>
  <sheetFormatPr baseColWidth="10" defaultColWidth="11.42578125" defaultRowHeight="15" x14ac:dyDescent="0.25"/>
  <cols>
    <col min="1" max="1" width="2" style="365" customWidth="1"/>
    <col min="2" max="3" width="17.7109375" style="365" customWidth="1"/>
    <col min="4" max="4" width="19.5703125" style="365" customWidth="1"/>
    <col min="5" max="5" width="12.5703125" style="365" customWidth="1"/>
    <col min="6" max="6" width="22.7109375" style="430" customWidth="1"/>
    <col min="7" max="7" width="22.7109375" style="365" customWidth="1"/>
    <col min="8" max="9" width="22.7109375" style="419" customWidth="1"/>
    <col min="10" max="13" width="22.7109375" style="365" customWidth="1"/>
    <col min="14" max="17" width="11.42578125" style="365"/>
    <col min="18" max="18" width="5.42578125" style="426" customWidth="1"/>
    <col min="19" max="16384" width="11.42578125" style="365"/>
  </cols>
  <sheetData>
    <row r="1" spans="1:18" s="419" customFormat="1" ht="30" customHeight="1" thickBot="1" x14ac:dyDescent="0.3">
      <c r="A1" s="418" t="s">
        <v>19</v>
      </c>
      <c r="F1" s="420"/>
      <c r="G1" s="421"/>
      <c r="H1" s="421"/>
      <c r="I1" s="421"/>
      <c r="J1" s="421"/>
      <c r="K1" s="421"/>
      <c r="L1" s="421"/>
      <c r="M1" s="421"/>
      <c r="R1" s="148"/>
    </row>
    <row r="2" spans="1:18" s="419" customFormat="1" ht="60" customHeight="1" thickBot="1" x14ac:dyDescent="0.3">
      <c r="B2" s="1015" t="s">
        <v>18</v>
      </c>
      <c r="C2" s="1016"/>
      <c r="D2" s="1016"/>
      <c r="E2" s="1016"/>
      <c r="F2" s="1017"/>
      <c r="G2" s="422"/>
      <c r="H2" s="422"/>
      <c r="I2" s="423"/>
      <c r="J2" s="423"/>
      <c r="K2" s="423"/>
      <c r="L2" s="423"/>
      <c r="M2" s="424"/>
      <c r="R2" s="148"/>
    </row>
    <row r="3" spans="1:18" s="419" customFormat="1" ht="9.9499999999999993" customHeight="1" thickBot="1" x14ac:dyDescent="0.3">
      <c r="B3" s="425"/>
      <c r="F3" s="420"/>
      <c r="G3" s="423"/>
      <c r="H3" s="423"/>
      <c r="I3" s="423"/>
      <c r="J3" s="423"/>
      <c r="K3" s="423"/>
      <c r="L3" s="423"/>
      <c r="M3" s="424"/>
      <c r="R3" s="148"/>
    </row>
    <row r="4" spans="1:18" ht="17.100000000000001" customHeight="1" thickBot="1" x14ac:dyDescent="0.3">
      <c r="F4" s="1031" t="s">
        <v>12</v>
      </c>
      <c r="G4" s="1032"/>
      <c r="H4" s="1033"/>
      <c r="I4" s="423"/>
      <c r="J4" s="423"/>
      <c r="K4" s="423"/>
      <c r="L4" s="423"/>
      <c r="M4" s="424"/>
    </row>
    <row r="5" spans="1:18" s="419" customFormat="1" ht="30" x14ac:dyDescent="0.25">
      <c r="A5" s="427"/>
      <c r="B5" s="1006" t="s">
        <v>24</v>
      </c>
      <c r="C5" s="1007"/>
      <c r="D5" s="1008"/>
      <c r="E5" s="1006" t="s">
        <v>6</v>
      </c>
      <c r="F5" s="428" t="s">
        <v>11</v>
      </c>
      <c r="G5" s="429" t="s">
        <v>590</v>
      </c>
      <c r="H5" s="230" t="s">
        <v>17</v>
      </c>
      <c r="I5" s="1018" t="s">
        <v>619</v>
      </c>
      <c r="J5" s="1018" t="s">
        <v>592</v>
      </c>
      <c r="K5" s="1021" t="s">
        <v>7</v>
      </c>
      <c r="L5" s="1018" t="s">
        <v>603</v>
      </c>
      <c r="M5" s="1018" t="s">
        <v>15</v>
      </c>
      <c r="N5" s="1036" t="s">
        <v>8</v>
      </c>
      <c r="O5" s="1037"/>
      <c r="P5" s="1037"/>
      <c r="Q5" s="1038"/>
      <c r="R5" s="148"/>
    </row>
    <row r="6" spans="1:18" ht="18" customHeight="1" x14ac:dyDescent="0.25">
      <c r="A6" s="430"/>
      <c r="B6" s="1009"/>
      <c r="C6" s="1010"/>
      <c r="D6" s="1011"/>
      <c r="E6" s="1009"/>
      <c r="F6" s="1024" t="s">
        <v>9</v>
      </c>
      <c r="G6" s="1034" t="s">
        <v>591</v>
      </c>
      <c r="H6" s="1026" t="s">
        <v>10</v>
      </c>
      <c r="I6" s="1019"/>
      <c r="J6" s="1019"/>
      <c r="K6" s="1022"/>
      <c r="L6" s="1019"/>
      <c r="M6" s="1019"/>
      <c r="N6" s="1039"/>
      <c r="O6" s="1040"/>
      <c r="P6" s="1040"/>
      <c r="Q6" s="1041"/>
    </row>
    <row r="7" spans="1:18" ht="18" customHeight="1" thickBot="1" x14ac:dyDescent="0.3">
      <c r="A7" s="430"/>
      <c r="B7" s="1012"/>
      <c r="C7" s="1013"/>
      <c r="D7" s="1014"/>
      <c r="E7" s="1012"/>
      <c r="F7" s="1025"/>
      <c r="G7" s="1035"/>
      <c r="H7" s="1027"/>
      <c r="I7" s="1020"/>
      <c r="J7" s="1020"/>
      <c r="K7" s="1023"/>
      <c r="L7" s="1020"/>
      <c r="M7" s="1020"/>
      <c r="N7" s="1042"/>
      <c r="O7" s="1043"/>
      <c r="P7" s="1043"/>
      <c r="Q7" s="1044"/>
    </row>
    <row r="8" spans="1:18" ht="52.15" customHeight="1" x14ac:dyDescent="0.25">
      <c r="B8" s="985" t="s">
        <v>0</v>
      </c>
      <c r="C8" s="986"/>
      <c r="D8" s="987"/>
      <c r="E8" s="431">
        <f>Eingabeparameter!C4</f>
        <v>1</v>
      </c>
      <c r="F8" s="432">
        <f>Eingabeparameter!D4</f>
        <v>1600000</v>
      </c>
      <c r="G8" s="432">
        <f>H8-F8</f>
        <v>0</v>
      </c>
      <c r="H8" s="433">
        <f>Eingabeparameter!E4</f>
        <v>1600000</v>
      </c>
      <c r="I8" s="434">
        <f>E8*F8</f>
        <v>1600000</v>
      </c>
      <c r="J8" s="434">
        <f>E8*G8</f>
        <v>0</v>
      </c>
      <c r="K8" s="435">
        <f t="shared" ref="K8:K22" si="0">E8*H8</f>
        <v>1600000</v>
      </c>
      <c r="L8" s="435">
        <f>K8-K8*Eingabeparameter!G4</f>
        <v>1600000</v>
      </c>
      <c r="M8" s="436">
        <f t="shared" ref="M8:M22" si="1">K8/$K$23</f>
        <v>1.0632866556029475E-2</v>
      </c>
      <c r="N8" s="1045" t="s">
        <v>13</v>
      </c>
      <c r="O8" s="1045"/>
      <c r="P8" s="1045"/>
      <c r="Q8" s="1046"/>
    </row>
    <row r="9" spans="1:18" ht="30" customHeight="1" x14ac:dyDescent="0.25">
      <c r="B9" s="988" t="s">
        <v>1</v>
      </c>
      <c r="C9" s="989"/>
      <c r="D9" s="990"/>
      <c r="E9" s="437">
        <f>Eingabeparameter!C5+Eingabeparameter!C6</f>
        <v>3803</v>
      </c>
      <c r="F9" s="438">
        <f>Eingabeparameter!D5</f>
        <v>2050</v>
      </c>
      <c r="G9" s="438">
        <f>H9-F9</f>
        <v>1950</v>
      </c>
      <c r="H9" s="438">
        <f>Eingabeparameter!E5</f>
        <v>4000</v>
      </c>
      <c r="I9" s="439">
        <f>E9*F9</f>
        <v>7796150</v>
      </c>
      <c r="J9" s="439">
        <f>E9*G9</f>
        <v>7415850</v>
      </c>
      <c r="K9" s="440">
        <f t="shared" si="0"/>
        <v>15212000</v>
      </c>
      <c r="L9" s="440">
        <f>(Eingabeparameter!C5*Eingabeparameter!E5*(1-Eingabeparameter!G5)+Eingabeparameter!C6*Eingabeparameter!E6*(1-Eingabeparameter!G6))</f>
        <v>15212000</v>
      </c>
      <c r="M9" s="441">
        <f t="shared" si="1"/>
        <v>0.10109197878145024</v>
      </c>
      <c r="N9" s="999"/>
      <c r="O9" s="999"/>
      <c r="P9" s="999"/>
      <c r="Q9" s="1000"/>
    </row>
    <row r="10" spans="1:18" ht="30" customHeight="1" x14ac:dyDescent="0.25">
      <c r="B10" s="988" t="s">
        <v>345</v>
      </c>
      <c r="C10" s="989"/>
      <c r="D10" s="990"/>
      <c r="E10" s="442">
        <f>Eingabeparameter!C8</f>
        <v>27117</v>
      </c>
      <c r="F10" s="438">
        <f>Eingabeparameter!D8</f>
        <v>1100</v>
      </c>
      <c r="G10" s="438">
        <f t="shared" ref="G10:G22" si="2">H10-F10</f>
        <v>300</v>
      </c>
      <c r="H10" s="438">
        <f>Eingabeparameter!E8</f>
        <v>1400</v>
      </c>
      <c r="I10" s="439">
        <f t="shared" ref="I10:I22" si="3">E10*F10</f>
        <v>29828700</v>
      </c>
      <c r="J10" s="439">
        <f t="shared" ref="J10:J22" si="4">E10*G10</f>
        <v>8135100</v>
      </c>
      <c r="K10" s="440">
        <f t="shared" si="0"/>
        <v>37963800</v>
      </c>
      <c r="L10" s="443">
        <f>K10-K10*Eingabeparameter!G8</f>
        <v>37963800</v>
      </c>
      <c r="M10" s="441">
        <f t="shared" si="1"/>
        <v>0.25229001209986984</v>
      </c>
      <c r="N10" s="999"/>
      <c r="O10" s="999"/>
      <c r="P10" s="999"/>
      <c r="Q10" s="1000"/>
    </row>
    <row r="11" spans="1:18" ht="30" customHeight="1" x14ac:dyDescent="0.25">
      <c r="B11" s="988" t="s">
        <v>346</v>
      </c>
      <c r="C11" s="989"/>
      <c r="D11" s="990"/>
      <c r="E11" s="442">
        <f>Eingabeparameter!C9</f>
        <v>0</v>
      </c>
      <c r="F11" s="438">
        <f>Eingabeparameter!D9</f>
        <v>1000</v>
      </c>
      <c r="G11" s="438">
        <f t="shared" si="2"/>
        <v>300</v>
      </c>
      <c r="H11" s="438">
        <f>Eingabeparameter!E9</f>
        <v>1300</v>
      </c>
      <c r="I11" s="439">
        <f t="shared" si="3"/>
        <v>0</v>
      </c>
      <c r="J11" s="439">
        <f t="shared" si="4"/>
        <v>0</v>
      </c>
      <c r="K11" s="443">
        <f t="shared" si="0"/>
        <v>0</v>
      </c>
      <c r="L11" s="443">
        <f>K11-K11*Eingabeparameter!G9</f>
        <v>0</v>
      </c>
      <c r="M11" s="441">
        <f t="shared" si="1"/>
        <v>0</v>
      </c>
      <c r="N11" s="1049"/>
      <c r="O11" s="1050"/>
      <c r="P11" s="1050"/>
      <c r="Q11" s="1051"/>
    </row>
    <row r="12" spans="1:18" ht="30" customHeight="1" x14ac:dyDescent="0.25">
      <c r="B12" s="988" t="s">
        <v>2</v>
      </c>
      <c r="C12" s="989"/>
      <c r="D12" s="990"/>
      <c r="E12" s="442">
        <f>Eingabeparameter!C11</f>
        <v>1569</v>
      </c>
      <c r="F12" s="438">
        <f>Eingabeparameter!D11</f>
        <v>950</v>
      </c>
      <c r="G12" s="438">
        <f t="shared" si="2"/>
        <v>50</v>
      </c>
      <c r="H12" s="438">
        <f>Eingabeparameter!E11</f>
        <v>1000</v>
      </c>
      <c r="I12" s="439">
        <f t="shared" si="3"/>
        <v>1490550</v>
      </c>
      <c r="J12" s="439">
        <f t="shared" si="4"/>
        <v>78450</v>
      </c>
      <c r="K12" s="443">
        <f t="shared" si="0"/>
        <v>1569000</v>
      </c>
      <c r="L12" s="443">
        <f>K12-K12*Eingabeparameter!G11</f>
        <v>1569000</v>
      </c>
      <c r="M12" s="444">
        <f t="shared" si="1"/>
        <v>1.0426854766506405E-2</v>
      </c>
      <c r="N12" s="1047"/>
      <c r="O12" s="1047"/>
      <c r="P12" s="1047"/>
      <c r="Q12" s="1048"/>
    </row>
    <row r="13" spans="1:18" ht="30" customHeight="1" x14ac:dyDescent="0.25">
      <c r="B13" s="988" t="s">
        <v>347</v>
      </c>
      <c r="C13" s="989"/>
      <c r="D13" s="990"/>
      <c r="E13" s="442">
        <f>Eingabeparameter!C12</f>
        <v>0</v>
      </c>
      <c r="F13" s="438">
        <f>Eingabeparameter!D12</f>
        <v>300</v>
      </c>
      <c r="G13" s="438">
        <f t="shared" si="2"/>
        <v>50</v>
      </c>
      <c r="H13" s="438">
        <f>Eingabeparameter!E12</f>
        <v>350</v>
      </c>
      <c r="I13" s="439">
        <f t="shared" si="3"/>
        <v>0</v>
      </c>
      <c r="J13" s="439">
        <f t="shared" si="4"/>
        <v>0</v>
      </c>
      <c r="K13" s="443">
        <f t="shared" si="0"/>
        <v>0</v>
      </c>
      <c r="L13" s="443">
        <f>K13-K13*Eingabeparameter!G12</f>
        <v>0</v>
      </c>
      <c r="M13" s="445">
        <f t="shared" si="1"/>
        <v>0</v>
      </c>
      <c r="N13" s="1003"/>
      <c r="O13" s="1004"/>
      <c r="P13" s="1004"/>
      <c r="Q13" s="1005"/>
    </row>
    <row r="14" spans="1:18" ht="34.9" customHeight="1" x14ac:dyDescent="0.25">
      <c r="B14" s="991" t="s">
        <v>3</v>
      </c>
      <c r="C14" s="992"/>
      <c r="D14" s="993"/>
      <c r="E14" s="442">
        <f>Eingabeparameter!C14+Eingabeparameter!C15</f>
        <v>1069</v>
      </c>
      <c r="F14" s="438">
        <f>Eingabeparameter!D14</f>
        <v>36000</v>
      </c>
      <c r="G14" s="438">
        <f t="shared" si="2"/>
        <v>3500</v>
      </c>
      <c r="H14" s="438">
        <f>Eingabeparameter!E14</f>
        <v>39500</v>
      </c>
      <c r="I14" s="439">
        <f t="shared" si="3"/>
        <v>38484000</v>
      </c>
      <c r="J14" s="439">
        <f t="shared" si="4"/>
        <v>3741500</v>
      </c>
      <c r="K14" s="443">
        <f t="shared" si="0"/>
        <v>42225500</v>
      </c>
      <c r="L14" s="443">
        <f>(Eingabeparameter!C14*Eingabeparameter!E14*(1-Eingabeparameter!G14)+Eingabeparameter!C15*Eingabeparameter!E15*(1-Eingabeparameter!G15))</f>
        <v>42225500</v>
      </c>
      <c r="M14" s="446">
        <f t="shared" si="1"/>
        <v>0.28061131672601414</v>
      </c>
      <c r="N14" s="1047" t="s">
        <v>16</v>
      </c>
      <c r="O14" s="1047"/>
      <c r="P14" s="1047"/>
      <c r="Q14" s="1048"/>
    </row>
    <row r="15" spans="1:18" ht="30" customHeight="1" x14ac:dyDescent="0.25">
      <c r="B15" s="991" t="s">
        <v>310</v>
      </c>
      <c r="C15" s="994"/>
      <c r="D15" s="995"/>
      <c r="E15" s="442">
        <f>Eingabeparameter!C16+Eingabeparameter!C17</f>
        <v>500</v>
      </c>
      <c r="F15" s="438">
        <f>Eingabeparameter!D16</f>
        <v>10000</v>
      </c>
      <c r="G15" s="438">
        <f t="shared" si="2"/>
        <v>2000</v>
      </c>
      <c r="H15" s="438">
        <f>Eingabeparameter!E16</f>
        <v>12000</v>
      </c>
      <c r="I15" s="439">
        <f t="shared" si="3"/>
        <v>5000000</v>
      </c>
      <c r="J15" s="439">
        <f t="shared" si="4"/>
        <v>1000000</v>
      </c>
      <c r="K15" s="443">
        <f t="shared" si="0"/>
        <v>6000000</v>
      </c>
      <c r="L15" s="443">
        <f>(Eingabeparameter!C16*Eingabeparameter!E16*(1-Eingabeparameter!G16)+Eingabeparameter!C17*Eingabeparameter!E17*(1-Eingabeparameter!G17))</f>
        <v>6000000</v>
      </c>
      <c r="M15" s="441">
        <f t="shared" si="1"/>
        <v>3.9873249585110529E-2</v>
      </c>
      <c r="N15" s="1003"/>
      <c r="O15" s="1004"/>
      <c r="P15" s="1004"/>
      <c r="Q15" s="1005"/>
    </row>
    <row r="16" spans="1:18" ht="30" customHeight="1" x14ac:dyDescent="0.25">
      <c r="B16" s="991" t="s">
        <v>311</v>
      </c>
      <c r="C16" s="994"/>
      <c r="D16" s="995"/>
      <c r="E16" s="442">
        <f>Eingabeparameter!C18</f>
        <v>458</v>
      </c>
      <c r="F16" s="438">
        <f>Eingabeparameter!D18</f>
        <v>12000</v>
      </c>
      <c r="G16" s="438">
        <f t="shared" si="2"/>
        <v>3000</v>
      </c>
      <c r="H16" s="438">
        <f>Eingabeparameter!E18</f>
        <v>15000</v>
      </c>
      <c r="I16" s="439">
        <f t="shared" si="3"/>
        <v>5496000</v>
      </c>
      <c r="J16" s="439">
        <f t="shared" si="4"/>
        <v>1374000</v>
      </c>
      <c r="K16" s="443">
        <f t="shared" si="0"/>
        <v>6870000</v>
      </c>
      <c r="L16" s="443">
        <f>K16-K16*Eingabeparameter!G18</f>
        <v>6870000</v>
      </c>
      <c r="M16" s="444">
        <f t="shared" si="1"/>
        <v>4.5654870774951561E-2</v>
      </c>
      <c r="N16" s="999"/>
      <c r="O16" s="999"/>
      <c r="P16" s="999"/>
      <c r="Q16" s="1000"/>
    </row>
    <row r="17" spans="2:18" ht="30" customHeight="1" x14ac:dyDescent="0.25">
      <c r="B17" s="1028" t="s">
        <v>625</v>
      </c>
      <c r="C17" s="1029"/>
      <c r="D17" s="1030"/>
      <c r="E17" s="442">
        <f>Eingabeparameter!C19</f>
        <v>3771</v>
      </c>
      <c r="F17" s="438">
        <f>Eingabeparameter!D19</f>
        <v>3000</v>
      </c>
      <c r="G17" s="438">
        <f t="shared" si="2"/>
        <v>1500</v>
      </c>
      <c r="H17" s="438">
        <f>Eingabeparameter!E19</f>
        <v>4500</v>
      </c>
      <c r="I17" s="439">
        <f t="shared" si="3"/>
        <v>11313000</v>
      </c>
      <c r="J17" s="439">
        <f t="shared" si="4"/>
        <v>5656500</v>
      </c>
      <c r="K17" s="443">
        <f t="shared" si="0"/>
        <v>16969500</v>
      </c>
      <c r="L17" s="443">
        <f>K17-K17*Eingabeparameter!G19</f>
        <v>16969500</v>
      </c>
      <c r="M17" s="444">
        <f>K17/$K$23</f>
        <v>0.11277151813908887</v>
      </c>
      <c r="N17" s="1049"/>
      <c r="O17" s="1050"/>
      <c r="P17" s="1050"/>
      <c r="Q17" s="1051"/>
    </row>
    <row r="18" spans="2:18" ht="30" customHeight="1" x14ac:dyDescent="0.25">
      <c r="B18" s="988" t="s">
        <v>4</v>
      </c>
      <c r="C18" s="989"/>
      <c r="D18" s="990"/>
      <c r="E18" s="442">
        <f>Eingabeparameter!C21</f>
        <v>271</v>
      </c>
      <c r="F18" s="438">
        <f>Eingabeparameter!D21</f>
        <v>1000</v>
      </c>
      <c r="G18" s="438">
        <f t="shared" si="2"/>
        <v>250</v>
      </c>
      <c r="H18" s="438">
        <f>Eingabeparameter!E21</f>
        <v>1250</v>
      </c>
      <c r="I18" s="439">
        <f t="shared" si="3"/>
        <v>271000</v>
      </c>
      <c r="J18" s="439">
        <f t="shared" si="4"/>
        <v>67750</v>
      </c>
      <c r="K18" s="440">
        <f t="shared" si="0"/>
        <v>338750</v>
      </c>
      <c r="L18" s="443">
        <f>K18-K18*Eingabeparameter!G21</f>
        <v>338750</v>
      </c>
      <c r="M18" s="441">
        <f t="shared" si="1"/>
        <v>2.2511772161593656E-3</v>
      </c>
      <c r="N18" s="1001"/>
      <c r="O18" s="1001"/>
      <c r="P18" s="1001"/>
      <c r="Q18" s="1002"/>
    </row>
    <row r="19" spans="2:18" ht="30" customHeight="1" x14ac:dyDescent="0.25">
      <c r="B19" s="988" t="s">
        <v>366</v>
      </c>
      <c r="C19" s="989"/>
      <c r="D19" s="990"/>
      <c r="E19" s="442">
        <f>Eingabeparameter!C22</f>
        <v>1283</v>
      </c>
      <c r="F19" s="438">
        <f>Eingabeparameter!D22</f>
        <v>500</v>
      </c>
      <c r="G19" s="438">
        <f t="shared" si="2"/>
        <v>250</v>
      </c>
      <c r="H19" s="438">
        <f>Eingabeparameter!E22</f>
        <v>750</v>
      </c>
      <c r="I19" s="439">
        <f t="shared" si="3"/>
        <v>641500</v>
      </c>
      <c r="J19" s="439">
        <f t="shared" si="4"/>
        <v>320750</v>
      </c>
      <c r="K19" s="440">
        <f t="shared" si="0"/>
        <v>962250</v>
      </c>
      <c r="L19" s="443">
        <f>K19-K19*Eingabeparameter!G22</f>
        <v>962250</v>
      </c>
      <c r="M19" s="441">
        <f t="shared" si="1"/>
        <v>6.3946724022121018E-3</v>
      </c>
      <c r="N19" s="1001"/>
      <c r="O19" s="1001"/>
      <c r="P19" s="1001"/>
      <c r="Q19" s="1002"/>
    </row>
    <row r="20" spans="2:18" ht="30" customHeight="1" x14ac:dyDescent="0.25">
      <c r="B20" s="988" t="s">
        <v>423</v>
      </c>
      <c r="C20" s="989"/>
      <c r="D20" s="990"/>
      <c r="E20" s="442">
        <f>Eingabeparameter!C24</f>
        <v>39841</v>
      </c>
      <c r="F20" s="438">
        <f>Eingabeparameter!D24</f>
        <v>25</v>
      </c>
      <c r="G20" s="438">
        <f t="shared" si="2"/>
        <v>0</v>
      </c>
      <c r="H20" s="438">
        <f>Eingabeparameter!E24</f>
        <v>25</v>
      </c>
      <c r="I20" s="439">
        <f t="shared" si="3"/>
        <v>996025</v>
      </c>
      <c r="J20" s="439">
        <f t="shared" si="4"/>
        <v>0</v>
      </c>
      <c r="K20" s="440">
        <f t="shared" si="0"/>
        <v>996025</v>
      </c>
      <c r="L20" s="443">
        <f>K20-K20*Eingabeparameter!G24</f>
        <v>996025</v>
      </c>
      <c r="M20" s="441">
        <f t="shared" si="1"/>
        <v>6.6191255696682865E-3</v>
      </c>
      <c r="N20" s="1001"/>
      <c r="O20" s="1001"/>
      <c r="P20" s="1001"/>
      <c r="Q20" s="1002"/>
    </row>
    <row r="21" spans="2:18" ht="39" customHeight="1" x14ac:dyDescent="0.25">
      <c r="B21" s="988" t="s">
        <v>14</v>
      </c>
      <c r="C21" s="989"/>
      <c r="D21" s="990"/>
      <c r="E21" s="437">
        <v>1</v>
      </c>
      <c r="F21" s="438"/>
      <c r="G21" s="438">
        <f t="shared" si="2"/>
        <v>9930000</v>
      </c>
      <c r="H21" s="438">
        <f>Eingabeparameter!C29</f>
        <v>9930000</v>
      </c>
      <c r="I21" s="439">
        <f t="shared" si="3"/>
        <v>0</v>
      </c>
      <c r="J21" s="439">
        <f t="shared" si="4"/>
        <v>9930000</v>
      </c>
      <c r="K21" s="440">
        <f t="shared" si="0"/>
        <v>9930000</v>
      </c>
      <c r="L21" s="443">
        <f>K21-K21*Eingabeparameter!D29</f>
        <v>9930000</v>
      </c>
      <c r="M21" s="441">
        <f t="shared" si="1"/>
        <v>6.5990228063357928E-2</v>
      </c>
      <c r="N21" s="999"/>
      <c r="O21" s="999"/>
      <c r="P21" s="999"/>
      <c r="Q21" s="1000"/>
    </row>
    <row r="22" spans="2:18" ht="39" customHeight="1" thickBot="1" x14ac:dyDescent="0.3">
      <c r="B22" s="996" t="s">
        <v>5</v>
      </c>
      <c r="C22" s="997"/>
      <c r="D22" s="998"/>
      <c r="E22" s="447">
        <v>1</v>
      </c>
      <c r="F22" s="448"/>
      <c r="G22" s="448">
        <f t="shared" si="2"/>
        <v>9840000</v>
      </c>
      <c r="H22" s="448">
        <f>Eingabeparameter!C30</f>
        <v>9840000</v>
      </c>
      <c r="I22" s="449">
        <f t="shared" si="3"/>
        <v>0</v>
      </c>
      <c r="J22" s="449">
        <f t="shared" si="4"/>
        <v>9840000</v>
      </c>
      <c r="K22" s="450">
        <f t="shared" si="0"/>
        <v>9840000</v>
      </c>
      <c r="L22" s="451">
        <f>K22-K22*Eingabeparameter!D30</f>
        <v>9840000</v>
      </c>
      <c r="M22" s="452">
        <f t="shared" si="1"/>
        <v>6.5392129319581271E-2</v>
      </c>
      <c r="N22" s="981"/>
      <c r="O22" s="981"/>
      <c r="P22" s="981"/>
      <c r="Q22" s="982"/>
    </row>
    <row r="23" spans="2:18" s="419" customFormat="1" ht="24.95" customHeight="1" thickBot="1" x14ac:dyDescent="0.3">
      <c r="B23" s="983" t="s">
        <v>723</v>
      </c>
      <c r="C23" s="984"/>
      <c r="D23" s="984"/>
      <c r="E23" s="453"/>
      <c r="F23" s="454"/>
      <c r="G23" s="454"/>
      <c r="H23" s="453"/>
      <c r="I23" s="455">
        <f>SUM(I8:I22)</f>
        <v>102916925</v>
      </c>
      <c r="J23" s="455">
        <f>SUM(J8:J22)</f>
        <v>47559900</v>
      </c>
      <c r="K23" s="456">
        <f>SUM(K8:K22)</f>
        <v>150476825</v>
      </c>
      <c r="L23" s="456">
        <f>SUM(L8:L22)</f>
        <v>150476825</v>
      </c>
      <c r="M23" s="457">
        <f>SUMIF(R8:R22,"&lt;&gt;x",K8:K22)</f>
        <v>150476825</v>
      </c>
      <c r="R23" s="148"/>
    </row>
    <row r="24" spans="2:18" s="419" customFormat="1" ht="9.9499999999999993" customHeight="1" x14ac:dyDescent="0.25">
      <c r="B24" s="458"/>
      <c r="C24" s="458"/>
      <c r="D24" s="458"/>
      <c r="F24" s="459"/>
      <c r="G24" s="459"/>
      <c r="K24" s="460"/>
      <c r="L24" s="460"/>
      <c r="R24" s="148"/>
    </row>
    <row r="25" spans="2:18" ht="20.100000000000001" customHeight="1" x14ac:dyDescent="0.25">
      <c r="G25" s="430"/>
      <c r="H25" s="365"/>
      <c r="I25" s="365"/>
      <c r="K25" s="419"/>
      <c r="L25" s="419"/>
    </row>
    <row r="26" spans="2:18" x14ac:dyDescent="0.25">
      <c r="G26" s="430"/>
      <c r="H26" s="365"/>
      <c r="J26" s="419"/>
    </row>
    <row r="27" spans="2:18" x14ac:dyDescent="0.25">
      <c r="G27" s="430"/>
      <c r="H27" s="365"/>
      <c r="J27" s="419"/>
    </row>
  </sheetData>
  <sheetProtection sheet="1" objects="1" scenarios="1"/>
  <mergeCells count="44">
    <mergeCell ref="N19:Q19"/>
    <mergeCell ref="N17:Q17"/>
    <mergeCell ref="N16:Q16"/>
    <mergeCell ref="N11:Q11"/>
    <mergeCell ref="N14:Q14"/>
    <mergeCell ref="N18:Q18"/>
    <mergeCell ref="N13:Q13"/>
    <mergeCell ref="N5:Q7"/>
    <mergeCell ref="N8:Q8"/>
    <mergeCell ref="N9:Q9"/>
    <mergeCell ref="N10:Q10"/>
    <mergeCell ref="N12:Q12"/>
    <mergeCell ref="B5:D7"/>
    <mergeCell ref="B2:F2"/>
    <mergeCell ref="M5:M7"/>
    <mergeCell ref="B21:D21"/>
    <mergeCell ref="K5:K7"/>
    <mergeCell ref="E5:E7"/>
    <mergeCell ref="F6:F7"/>
    <mergeCell ref="H6:H7"/>
    <mergeCell ref="B11:D11"/>
    <mergeCell ref="B20:D20"/>
    <mergeCell ref="B17:D17"/>
    <mergeCell ref="F4:H4"/>
    <mergeCell ref="G6:G7"/>
    <mergeCell ref="I5:I7"/>
    <mergeCell ref="J5:J7"/>
    <mergeCell ref="L5:L7"/>
    <mergeCell ref="N22:Q22"/>
    <mergeCell ref="B23:D23"/>
    <mergeCell ref="B8:D8"/>
    <mergeCell ref="B9:D9"/>
    <mergeCell ref="B10:D10"/>
    <mergeCell ref="B12:D12"/>
    <mergeCell ref="B14:D14"/>
    <mergeCell ref="B18:D18"/>
    <mergeCell ref="B15:D15"/>
    <mergeCell ref="B16:D16"/>
    <mergeCell ref="B13:D13"/>
    <mergeCell ref="B19:D19"/>
    <mergeCell ref="B22:D22"/>
    <mergeCell ref="N21:Q21"/>
    <mergeCell ref="N20:Q20"/>
    <mergeCell ref="N15:Q15"/>
  </mergeCells>
  <printOptions horizontalCentered="1" verticalCentered="1"/>
  <pageMargins left="0.70866141732283472" right="0.70866141732283472" top="0.98425196850393704" bottom="0.78740157480314965" header="0.31496062992125984" footer="0.31496062992125984"/>
  <pageSetup paperSize="8" scale="76" orientation="landscape" r:id="rId1"/>
  <headerFooter>
    <oddHeader>&amp;L&amp;"Arial,Fett"&amp;16Gesamt-VRR&amp;C&amp;"Arial,Fett"&amp;16Machbarkeitsstudie EFM-3
- VERTRAULICH! -&amp;R&amp;G</oddHeader>
    <oddFooter>&amp;L&amp;"Arial,Standard"&amp;F
&amp;A
&amp;D
© BLIC / KCW&amp;C&amp;"Arial,Standard"&amp;P / &amp;N&amp;R&amp;G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20</vt:i4>
      </vt:variant>
    </vt:vector>
  </HeadingPairs>
  <TitlesOfParts>
    <vt:vector size="42" baseType="lpstr">
      <vt:lpstr>Hinweise</vt:lpstr>
      <vt:lpstr>Korrekturen</vt:lpstr>
      <vt:lpstr>Übersicht</vt:lpstr>
      <vt:lpstr>Eingabeparameter</vt:lpstr>
      <vt:lpstr>Kostenvergleich mit WBK</vt:lpstr>
      <vt:lpstr>Kostenvergleich Betriebskosten</vt:lpstr>
      <vt:lpstr>Gesamtkosten incl. WBK</vt:lpstr>
      <vt:lpstr>Gesamtkosten periodenbezogen</vt:lpstr>
      <vt:lpstr>Kosten Systemaufbau</vt:lpstr>
      <vt:lpstr>Kosten Systembetrieb</vt:lpstr>
      <vt:lpstr>Finanzierung</vt:lpstr>
      <vt:lpstr>Finanzierung (2)</vt:lpstr>
      <vt:lpstr>Lebensdauer Systemkomponenten</vt:lpstr>
      <vt:lpstr>Kosten Mobilfunkverträge</vt:lpstr>
      <vt:lpstr>Kosten für Chipkarten</vt:lpstr>
      <vt:lpstr>Migrationskosten</vt:lpstr>
      <vt:lpstr>Mehrerlöse CRM, sonstiges</vt:lpstr>
      <vt:lpstr>Nutzungsdauer Chipkarten</vt:lpstr>
      <vt:lpstr>Kosten Kundencenter</vt:lpstr>
      <vt:lpstr>Anzahl Kundencenter-VK-Plätze</vt:lpstr>
      <vt:lpstr>Basisdaten VRR</vt:lpstr>
      <vt:lpstr>Hilfsrechnungen intern</vt:lpstr>
      <vt:lpstr>Auswahl</vt:lpstr>
      <vt:lpstr>'Anzahl Kundencenter-VK-Plätze'!Druckbereich</vt:lpstr>
      <vt:lpstr>'Basisdaten VRR'!Druckbereich</vt:lpstr>
      <vt:lpstr>Finanzierung!Druckbereich</vt:lpstr>
      <vt:lpstr>'Gesamtkosten incl. WBK'!Druckbereich</vt:lpstr>
      <vt:lpstr>'Kosten für Chipkarten'!Druckbereich</vt:lpstr>
      <vt:lpstr>'Kosten Kundencenter'!Druckbereich</vt:lpstr>
      <vt:lpstr>'Kosten Mobilfunkverträge'!Druckbereich</vt:lpstr>
      <vt:lpstr>'Kosten Systemaufbau'!Druckbereich</vt:lpstr>
      <vt:lpstr>'Kosten Systembetrieb'!Druckbereich</vt:lpstr>
      <vt:lpstr>'Kostenvergleich mit WBK'!Druckbereich</vt:lpstr>
      <vt:lpstr>'Lebensdauer Systemkomponenten'!Druckbereich</vt:lpstr>
      <vt:lpstr>'Nutzungsdauer Chipkarten'!Druckbereich</vt:lpstr>
      <vt:lpstr>Übersicht!Druckbereich</vt:lpstr>
      <vt:lpstr>EKQ_I</vt:lpstr>
      <vt:lpstr>FKQ_I</vt:lpstr>
      <vt:lpstr>Eingabeparameter!test</vt:lpstr>
      <vt:lpstr>Test</vt:lpstr>
      <vt:lpstr>Variante</vt:lpstr>
      <vt:lpstr>Variante3</vt:lpstr>
    </vt:vector>
  </TitlesOfParts>
  <Manager>thi@blic.de</Manager>
  <Company>BLIC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Wirtschaftlichkeit EFM-3</dc:title>
  <dc:creator>BLIC</dc:creator>
  <cp:lastModifiedBy>Andreas Schmiede</cp:lastModifiedBy>
  <cp:lastPrinted>2014-01-17T13:44:15Z</cp:lastPrinted>
  <dcterms:created xsi:type="dcterms:W3CDTF">2012-07-12T12:28:22Z</dcterms:created>
  <dcterms:modified xsi:type="dcterms:W3CDTF">2014-04-14T10:11:07Z</dcterms:modified>
</cp:coreProperties>
</file>